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<sst xmlns="http://schemas.openxmlformats.org/spreadsheetml/2006/main" count="114" uniqueCount="102">
  <si>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Perpetual Limited (PPT.AX)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</si>
  <si>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</si>
  <si>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</si>
  <si>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</si>
  <si>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</si>
  <si>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</si>
  <si>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</si>
  <si>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</si>
  <si>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</si>
  <si>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</si>
  <si>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</si>
  <si>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</si>
  <si>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</si>
  <si>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</si>
  <si>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</si>
  <si>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</si>
  <si>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</si>
  <si>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</si>
  <si>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</si>
  <si>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</si>
  <si>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</si>
  <si>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</si>
  <si>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</si>
  <si>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</si>
  <si>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</si>
  <si>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</si>
  <si>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</si>
  <si>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</si>
  <si>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</si>
  <si>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</si>
  <si>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</si>
  <si>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</si>
  <si>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</si>
  <si>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</si>
  <si>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</si>
  <si>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</si>
  <si>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</si>
  <si>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</si>
  <si>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</si>
  <si>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</si>
  <si>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</si>
  <si>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</si>
  <si>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</si>
  <si>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</si>
  <si>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</si>
  <si>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</si>
  <si>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</si>
  <si>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</si>
  <si>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</si>
  <si>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</si>
  <si>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</si>
  <si>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</si>
  <si>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</si>
  <si>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</si>
  <si>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</si>
  <si>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</si>
  <si>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</si>
  <si>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</si>
  <si>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</si>
  <si>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</si>
  <si>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</si>
  <si>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</si>
  <si>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</si>
  <si>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</si>
  <si>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</si>
  <si>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</si>
  <si>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</si>
  <si>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</si>
  <si>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</si>
  <si>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</si>
  <si>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</si>
  <si>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</si>
  <si>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</si>
  <si>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</si>
  <si>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</si>
  <si>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</si>
  <si>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</si>
  <si>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</si>
  <si>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</si>
  <si>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</si>
  <si>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</si>
  <si>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</si>
  <si>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</si>
  <si>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</si>
  <si>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</si>
  <si>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</si>
  <si>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</si>
  <si>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</si>
  <si>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</si>
  <si>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</si>
  <si>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</si>
  <si>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</si>
  <si>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</si>
  <si>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</si>
  <si>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</si>
  <si>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</si>
  <si>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</si>
  <si>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</si>
  <si>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</si>
  <si>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</si>
  <si>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2.13% of revenue against depreciation and amortisation of 8.35%. A business cannot depreciate more than it invests indefinitely. Capex has been set to 8.35%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</si>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</sst>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0.21340019809607003</v>
      </c>
    </row>
    <row r="7" spans="1:2" x14ac:dyDescent="0.25">
      <c r="A7" t="s">
        <v>5</v>
      </c>
      <c r="B7" s="6">
        <v>0.11364729044082908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0.08352543710153523</v>
      </c>
    </row>
    <row r="10" spans="1:2" x14ac:dyDescent="0.25">
      <c r="A10" t="s">
        <v>8</v>
      </c>
      <c r="B10" s="6">
        <v>0.08352543710153523</v>
      </c>
    </row>
    <row r="11" spans="1:2" x14ac:dyDescent="0.25">
      <c r="A11" t="s">
        <v>9</v>
      </c>
      <c r="B11" s="6">
        <v>0.1398920713989207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13.54038242343542</v>
      </c>
    </row>
    <row r="14" spans="1:3" x14ac:dyDescent="0.25">
      <c r="A14" t="s">
        <v>12</v>
      </c>
      <c r="B14" s="6">
        <v>0.08748914657015694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0.9028499999999999</v>
      </c>
      <c r="C19" s="8" t="s">
        <v>19</v>
      </c>
    </row>
    <row r="20" spans="1:2" x14ac:dyDescent="0.25">
      <c r="A20" t="s">
        <v>20</v>
      </c>
      <c r="B20" s="10">
        <f>B17+B19*B18</f>
        <v>0.107651</v>
      </c>
    </row>
    <row r="21" spans="1:3" x14ac:dyDescent="0.25">
      <c r="A21" t="s">
        <v>21</v>
      </c>
      <c r="B21" s="6">
        <v>0.06699693323897146</v>
      </c>
      <c r="C21" s="8" t="s">
        <v>22</v>
      </c>
    </row>
    <row r="22" spans="1:2" x14ac:dyDescent="0.25">
      <c r="A22" t="s">
        <v>23</v>
      </c>
      <c r="B22" s="11">
        <v>2267548160</v>
      </c>
    </row>
    <row r="23" spans="1:2" x14ac:dyDescent="0.25">
      <c r="A23" t="s">
        <v>24</v>
      </c>
      <c r="B23" s="11">
        <v>1126300000</v>
      </c>
    </row>
    <row r="24" spans="1:2" x14ac:dyDescent="0.25">
      <c r="A24" t="s">
        <v>25</v>
      </c>
      <c r="B24" s="10">
        <f>B22/(B22+B23)</f>
        <v>0.6681348289901101</v>
      </c>
    </row>
    <row r="25" spans="1:2" x14ac:dyDescent="0.25">
      <c r="A25" t="s">
        <v>26</v>
      </c>
      <c r="B25" s="10">
        <f>1-B24</f>
        <v>0.3318651710098899</v>
      </c>
    </row>
    <row r="26" spans="1:2" x14ac:dyDescent="0.25">
      <c r="A26" t="s">
        <v>27</v>
      </c>
      <c r="B26" s="12">
        <f>B24*B20+B25*B21*(1-B8)</f>
        <v>0.08748914657015694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1348300000</v>
      </c>
      <c r="C29" s="8" t="s">
        <v>30</v>
      </c>
    </row>
    <row r="30" spans="1:2" x14ac:dyDescent="0.25">
      <c r="A30" t="s">
        <v>31</v>
      </c>
      <c r="B30" s="11">
        <v>783100000</v>
      </c>
    </row>
    <row r="31" spans="1:2" x14ac:dyDescent="0.25">
      <c r="A31" t="s">
        <v>32</v>
      </c>
      <c r="B31" s="13">
        <v>112050538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0.21340019809607003</v>
      </c>
      <c r="C5" s="10">
        <f>Assumptions!B6</f>
        <v>0.21340019809607003</v>
      </c>
      <c r="D5" s="10">
        <f>Assumptions!B6</f>
        <v>0.21340019809607003</v>
      </c>
      <c r="E5" s="10">
        <f>Assumptions!B6</f>
        <v>0.21340019809607003</v>
      </c>
      <c r="F5" s="10">
        <f>Assumptions!B6</f>
        <v>0.21340019809607003</v>
      </c>
    </row>
    <row r="6" spans="1:6" x14ac:dyDescent="0.25">
      <c r="A6" t="s">
        <v>43</v>
      </c>
      <c r="B6" s="18">
        <f>Assumptions!B29*(1+B5)</f>
        <v>1636027487.0929313</v>
      </c>
      <c r="C6" s="18">
        <f>B6*(1+C5)</f>
        <v>1985156076.9291785</v>
      </c>
      <c r="D6" s="18">
        <f>C6*(1+D5)</f>
        <v>2408788776.9974823</v>
      </c>
      <c r="E6" s="18">
        <f>D6*(1+E5)</f>
        <v>2922824779.180335</v>
      </c>
      <c r="F6" s="18">
        <f>E6*(1+F5)</f>
        <v>3546556166.057521</v>
      </c>
    </row>
    <row r="7" spans="1:6" x14ac:dyDescent="0.25">
      <c r="A7" t="s">
        <v>5</v>
      </c>
      <c r="B7" s="10">
        <f>Assumptions!B7</f>
        <v>0.11364729044082908</v>
      </c>
      <c r="C7" s="10">
        <f>Assumptions!B7</f>
        <v>0.11364729044082908</v>
      </c>
      <c r="D7" s="10">
        <f>Assumptions!B7</f>
        <v>0.11364729044082908</v>
      </c>
      <c r="E7" s="10">
        <f>Assumptions!B7</f>
        <v>0.11364729044082908</v>
      </c>
      <c r="F7" s="10">
        <f>Assumptions!B7</f>
        <v>0.11364729044082908</v>
      </c>
    </row>
    <row r="8" spans="1:6" x14ac:dyDescent="0.25">
      <c r="A8" t="s">
        <v>44</v>
      </c>
      <c r="B8" s="18">
        <f>B6*B7</f>
        <v>185930090.9948301</v>
      </c>
      <c r="C8" s="18">
        <f>C6*C7</f>
        <v>225607609.24514717</v>
      </c>
      <c r="D8" s="18">
        <f>D6*D7</f>
        <v>273752317.7500423</v>
      </c>
      <c r="E8" s="18">
        <f>E6*E7</f>
        <v>332171116.58715963</v>
      </c>
      <c r="F8" s="18">
        <f>F6*F7</f>
        <v>403056498.6686523</v>
      </c>
    </row>
    <row r="9" spans="1:6" x14ac:dyDescent="0.25">
      <c r="A9" t="s">
        <v>45</v>
      </c>
      <c r="B9" s="18">
        <f>B8*(1-Assumptions!B8)</f>
        <v>130151063.69638106</v>
      </c>
      <c r="C9" s="18">
        <f>C8*(1-Assumptions!B8)</f>
        <v>157925326.471603</v>
      </c>
      <c r="D9" s="18">
        <f>D8*(1-Assumptions!B8)</f>
        <v>191626622.4250296</v>
      </c>
      <c r="E9" s="18">
        <f>E8*(1-Assumptions!B8)</f>
        <v>232519781.61101174</v>
      </c>
      <c r="F9" s="18">
        <f>F8*(1-Assumptions!B8)</f>
        <v>282139549.0680566</v>
      </c>
    </row>
    <row r="10" spans="1:6" x14ac:dyDescent="0.25">
      <c r="A10" t="s">
        <v>46</v>
      </c>
      <c r="B10" s="18">
        <f>B6*Assumptions!B9</f>
        <v>136649910.96956336</v>
      </c>
      <c r="C10" s="18">
        <f>C6*Assumptions!B9</f>
        <v>165811029.04027852</v>
      </c>
      <c r="D10" s="18">
        <f>D6*Assumptions!B9</f>
        <v>201195135.48398718</v>
      </c>
      <c r="E10" s="18">
        <f>E6*Assumptions!B9</f>
        <v>244130217.25223568</v>
      </c>
      <c r="F10" s="18">
        <f>F6*Assumptions!B9</f>
        <v>296227653.9750994</v>
      </c>
    </row>
    <row r="11" spans="1:6" x14ac:dyDescent="0.25">
      <c r="A11" t="s">
        <v>47</v>
      </c>
      <c r="B11" s="18">
        <f>-B6*Assumptions!B10</f>
        <v>-136649910.96956336</v>
      </c>
      <c r="C11" s="18">
        <f>-C6*Assumptions!B10</f>
        <v>-165811029.04027852</v>
      </c>
      <c r="D11" s="18">
        <f>-D6*Assumptions!B10</f>
        <v>-201195135.48398718</v>
      </c>
      <c r="E11" s="18">
        <f>-E6*Assumptions!B10</f>
        <v>-244130217.25223568</v>
      </c>
      <c r="F11" s="18">
        <f>-F6*Assumptions!B10</f>
        <v>-296227653.9750994</v>
      </c>
    </row>
    <row r="12" spans="1:6" x14ac:dyDescent="0.25">
      <c r="A12" t="s">
        <v>48</v>
      </c>
      <c r="B12" s="18">
        <f>-(B6-Assumptions!B29)*Assumptions!B11</f>
        <v>-40250794.167836376</v>
      </c>
      <c r="C12" s="18">
        <f>-(C6-B6)*Assumptions!B11</f>
        <v>-48840321.616776794</v>
      </c>
      <c r="D12" s="18">
        <f>-(D6-C6)*Assumptions!B11</f>
        <v>-59262855.92487272</v>
      </c>
      <c r="E12" s="18">
        <f>-(E6-D6)*Assumptions!B11</f>
        <v>-71909561.1189794</v>
      </c>
      <c r="F12" s="18">
        <f>-(F6-E6)*Assumptions!B11</f>
        <v>-87255075.70677112</v>
      </c>
    </row>
    <row r="13" spans="1:6" x14ac:dyDescent="0.25">
      <c r="A13" s="19" t="s">
        <v>49</v>
      </c>
      <c r="B13" s="20">
        <f>B9+B10+B11+B12</f>
        <v>89900269.5285447</v>
      </c>
      <c r="C13" s="20">
        <f>C9+C10+C11+C12</f>
        <v>109085004.85482621</v>
      </c>
      <c r="D13" s="20">
        <f>D9+D10+D11+D12</f>
        <v>132363766.50015688</v>
      </c>
      <c r="E13" s="20">
        <f>E9+E10+E11+E12</f>
        <v>160610220.49203232</v>
      </c>
      <c r="F13" s="20">
        <f>F9+F10+F11+F12</f>
        <v>194884473.3612854</v>
      </c>
    </row>
    <row r="14" spans="1:6" x14ac:dyDescent="0.25">
      <c r="A14" t="s">
        <v>50</v>
      </c>
      <c r="B14" s="21">
        <f>1/(1+Assumptions!$B$26)^(1-0.5*Assumptions!$B$32)</f>
        <v>0.9589313881296248</v>
      </c>
      <c r="C14" s="21">
        <f>1/(1+Assumptions!$B$26)^(2-0.5*Assumptions!$B$32)</f>
        <v>0.8817847894427344</v>
      </c>
      <c r="D14" s="21">
        <f>1/(1+Assumptions!$B$26)^(3-0.5*Assumptions!$B$32)</f>
        <v>0.8108446803573206</v>
      </c>
      <c r="E14" s="21">
        <f>1/(1+Assumptions!$B$26)^(4-0.5*Assumptions!$B$32)</f>
        <v>0.7456117451053667</v>
      </c>
      <c r="F14" s="21">
        <f>1/(1+Assumptions!$B$26)^(5-0.5*Assumptions!$B$32)</f>
        <v>0.6856268381684166</v>
      </c>
    </row>
    <row r="15" spans="1:6" x14ac:dyDescent="0.25">
      <c r="A15" s="19" t="s">
        <v>51</v>
      </c>
      <c r="B15" s="20">
        <f>B13*B14</f>
        <v>86208190.25223477</v>
      </c>
      <c r="C15" s="20">
        <f>C13*C14</f>
        <v>96189498.03727259</v>
      </c>
      <c r="D15" s="20">
        <f>D13*D14</f>
        <v>107326455.93871072</v>
      </c>
      <c r="E15" s="20">
        <f>E13*E14</f>
        <v>119752866.78282194</v>
      </c>
      <c r="F15" s="20">
        <f>F13*F14</f>
        <v>133618025.27881512</v>
      </c>
    </row>
    <row r="17" spans="1:2" x14ac:dyDescent="0.25">
      <c r="A17" s="22" t="s">
        <v>52</v>
      </c>
      <c r="B17" s="23">
        <f>SUM(B15:F15)</f>
        <v>543095036.2898551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194884473.3612854</v>
      </c>
    </row>
    <row r="5" spans="1:2" x14ac:dyDescent="0.25">
      <c r="A5" t="s">
        <v>56</v>
      </c>
      <c r="B5" s="18">
        <f>IF(Assumptions!$B$33=0,B4,B4-Forecast!F11-Forecast!F10-Forecast!F12)</f>
        <v>282139549.0680566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0.28574972988166797</v>
      </c>
    </row>
    <row r="7" spans="1:2" x14ac:dyDescent="0.25">
      <c r="A7" t="s">
        <v>58</v>
      </c>
      <c r="B7" s="18">
        <f>-MAX(Forecast!F9,0)*B6</f>
        <v>-80621299.93513277</v>
      </c>
    </row>
    <row r="8" spans="1:2" x14ac:dyDescent="0.25">
      <c r="A8" t="s">
        <v>59</v>
      </c>
      <c r="B8" s="18">
        <f>IF(OR(Assumptions!$B$33=0,Assumptions!B12&lt;=0),B5,MAX(B5+B7,0))</f>
        <v>201518249.1329238</v>
      </c>
    </row>
    <row r="9" spans="1:2" x14ac:dyDescent="0.25">
      <c r="A9" t="s">
        <v>60</v>
      </c>
      <c r="B9" s="18">
        <f>B8*(1+Assumptions!B12)/(Assumptions!B26-Assumptions!B12)</f>
        <v>3305473297.340443</v>
      </c>
    </row>
    <row r="10" spans="1:2" x14ac:dyDescent="0.25">
      <c r="A10" t="s">
        <v>61</v>
      </c>
      <c r="B10" s="18">
        <f>B9/(1+Assumptions!B26)^(5-0.5*Assumptions!B32)</f>
        <v>2266321205.5056586</v>
      </c>
    </row>
    <row r="11" spans="1:2" x14ac:dyDescent="0.25">
      <c r="A11" t="s">
        <v>62</v>
      </c>
      <c r="B11" s="18">
        <f>Forecast!B17+B10</f>
        <v>2809416241.7955136</v>
      </c>
    </row>
    <row r="12" spans="1:2" x14ac:dyDescent="0.25">
      <c r="A12" t="s">
        <v>63</v>
      </c>
      <c r="B12" s="18">
        <f>-Assumptions!B30</f>
        <v>-783100000</v>
      </c>
    </row>
    <row r="13" spans="1:2" x14ac:dyDescent="0.25">
      <c r="A13" t="s">
        <v>64</v>
      </c>
      <c r="B13" s="18">
        <f>B11+B12</f>
        <v>2026316241.7955136</v>
      </c>
    </row>
    <row r="14" spans="1:2" x14ac:dyDescent="0.25">
      <c r="A14" s="19" t="s">
        <v>65</v>
      </c>
      <c r="B14" s="24">
        <f>B13/Assumptions!B31</f>
        <v>18.08394924257761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699284152.6437516</v>
      </c>
    </row>
    <row r="18" spans="1:2" x14ac:dyDescent="0.25">
      <c r="A18" t="s">
        <v>60</v>
      </c>
      <c r="B18" s="18">
        <f>B17*Assumptions!B13</f>
        <v>9468574849.444386</v>
      </c>
    </row>
    <row r="19" spans="1:2" x14ac:dyDescent="0.25">
      <c r="A19" t="s">
        <v>61</v>
      </c>
      <c r="B19" s="18">
        <f>B18/(1+Assumptions!B26)^(5-0.5*Assumptions!B32)</f>
        <v>6491909035.985545</v>
      </c>
    </row>
    <row r="20" spans="1:2" x14ac:dyDescent="0.25">
      <c r="A20" t="s">
        <v>62</v>
      </c>
      <c r="B20" s="18">
        <f>Forecast!B17+B19</f>
        <v>7035004072.2754</v>
      </c>
    </row>
    <row r="21" spans="1:2" x14ac:dyDescent="0.25">
      <c r="A21" t="s">
        <v>63</v>
      </c>
      <c r="B21" s="18">
        <f>-Assumptions!B30</f>
        <v>-783100000</v>
      </c>
    </row>
    <row r="22" spans="1:2" x14ac:dyDescent="0.25">
      <c r="A22" t="s">
        <v>64</v>
      </c>
      <c r="B22" s="18">
        <f>B20+B21</f>
        <v>6251904072.2754</v>
      </c>
    </row>
    <row r="23" spans="1:2" x14ac:dyDescent="0.25">
      <c r="A23" s="19" t="s">
        <v>65</v>
      </c>
      <c r="B23" s="25">
        <f>B22/Assumptions!B31</f>
        <v>55.79539539806047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18.08394924257761</v>
      </c>
    </row>
    <row r="29" spans="1:2" x14ac:dyDescent="0.25">
      <c r="A29" s="19" t="s">
        <v>73</v>
      </c>
      <c r="B29" s="12">
        <f>B28/B26-1</f>
        <v>-0.07734952843991794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0.067489</v>
      </c>
      <c r="B5" s="31">
        <v>26.33649579291756</v>
      </c>
      <c r="C5" s="31">
        <v>26.47553961416589</v>
      </c>
      <c r="D5" s="31">
        <v>26.614583435414215</v>
      </c>
      <c r="E5" s="31">
        <v>26.75362725666256</v>
      </c>
      <c r="F5" s="31">
        <v>26.89267107791088</v>
      </c>
    </row>
    <row r="6" spans="1:6" x14ac:dyDescent="0.25">
      <c r="A6" s="30">
        <v>0.077489</v>
      </c>
      <c r="B6" s="31">
        <v>21.554905746054278</v>
      </c>
      <c r="C6" s="31">
        <v>21.67102979402305</v>
      </c>
      <c r="D6" s="31">
        <v>21.78715384199182</v>
      </c>
      <c r="E6" s="31">
        <v>21.903277889960602</v>
      </c>
      <c r="F6" s="31">
        <v>22.019401937929374</v>
      </c>
    </row>
    <row r="7" spans="1:6" x14ac:dyDescent="0.25">
      <c r="A7" s="30">
        <v>0.087489</v>
      </c>
      <c r="B7" s="31">
        <v>17.886671019869993</v>
      </c>
      <c r="C7" s="31">
        <v>17.985334094727815</v>
      </c>
      <c r="D7" s="32">
        <v>18.083997169585626</v>
      </c>
      <c r="E7" s="31">
        <v>18.182660244443447</v>
      </c>
      <c r="F7" s="31">
        <v>18.281323319301265</v>
      </c>
    </row>
    <row r="8" spans="1:6" x14ac:dyDescent="0.25">
      <c r="A8" s="30">
        <v>0.097489</v>
      </c>
      <c r="B8" s="31">
        <v>14.988190188977464</v>
      </c>
      <c r="C8" s="31">
        <v>15.07315979768129</v>
      </c>
      <c r="D8" s="31">
        <v>15.158129406385113</v>
      </c>
      <c r="E8" s="31">
        <v>15.243099015088939</v>
      </c>
      <c r="F8" s="31">
        <v>15.32806862379276</v>
      </c>
    </row>
    <row r="9" spans="1:6" x14ac:dyDescent="0.25">
      <c r="A9" s="30">
        <v>0.107489</v>
      </c>
      <c r="B9" s="31">
        <v>12.643783820293528</v>
      </c>
      <c r="C9" s="31">
        <v>12.71776625296248</v>
      </c>
      <c r="D9" s="31">
        <v>12.791748685631427</v>
      </c>
      <c r="E9" s="31">
        <v>12.86573111830038</v>
      </c>
      <c r="F9" s="31">
        <v>12.939713550969326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1348300000</v>
      </c>
      <c r="C5" s="18">
        <v>1303800000</v>
      </c>
      <c r="D5" s="18">
        <v>995600000</v>
      </c>
      <c r="E5" s="18">
        <v>754700000</v>
      </c>
      <c r="F5" s="8" t="s">
        <v>84</v>
      </c>
    </row>
    <row r="6" spans="1:6" x14ac:dyDescent="0.25">
      <c r="A6" t="s">
        <v>44</v>
      </c>
      <c r="B6" s="18">
        <v>104200000</v>
      </c>
      <c r="C6" s="18">
        <v>105100000</v>
      </c>
      <c r="D6" s="18">
        <v>95400000</v>
      </c>
      <c r="E6" s="18">
        <v>151600000</v>
      </c>
      <c r="F6" s="8" t="s">
        <v>85</v>
      </c>
    </row>
    <row r="7" spans="1:6" x14ac:dyDescent="0.25">
      <c r="A7" t="s">
        <v>86</v>
      </c>
      <c r="B7" s="18">
        <v>121100000</v>
      </c>
      <c r="C7" s="18">
        <v>118500000</v>
      </c>
      <c r="D7" s="18">
        <v>83200000</v>
      </c>
      <c r="E7" s="18">
        <v>52700000</v>
      </c>
      <c r="F7" s="8" t="s">
        <v>87</v>
      </c>
    </row>
    <row r="8" spans="1:6" x14ac:dyDescent="0.25">
      <c r="A8" t="s">
        <v>88</v>
      </c>
      <c r="B8" s="18">
        <v>20700000</v>
      </c>
      <c r="C8" s="18">
        <v>31800000</v>
      </c>
      <c r="D8" s="18">
        <v>25400000</v>
      </c>
      <c r="E8" s="18">
        <v>15000000</v>
      </c>
      <c r="F8" s="8" t="s">
        <v>89</v>
      </c>
    </row>
    <row r="9" spans="1:6" x14ac:dyDescent="0.25">
      <c r="A9" t="s">
        <v>90</v>
      </c>
      <c r="B9" s="18">
        <v>42800000</v>
      </c>
      <c r="C9" s="18">
        <v>5900000</v>
      </c>
      <c r="D9" s="18">
        <v>33700000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1126300000</v>
      </c>
      <c r="C10" s="18">
        <v>993200000</v>
      </c>
      <c r="D10" s="18">
        <v>989500000</v>
      </c>
      <c r="E10" s="18">
        <v>518400000</v>
      </c>
      <c r="F10" s="8" t="s">
        <v>93</v>
      </c>
    </row>
    <row r="11" spans="1:6" x14ac:dyDescent="0.25">
      <c r="A11" t="s">
        <v>94</v>
      </c>
      <c r="B11" s="18">
        <v>343200000</v>
      </c>
      <c r="C11" s="18">
        <v>221300000</v>
      </c>
      <c r="D11" s="18">
        <v>427100000</v>
      </c>
      <c r="E11" s="18">
        <v>361700000</v>
      </c>
      <c r="F11" s="8" t="s">
        <v>95</v>
      </c>
    </row>
    <row r="12" spans="1:6" x14ac:dyDescent="0.25">
      <c r="A12" t="s">
        <v>32</v>
      </c>
      <c r="B12" s="34">
        <v>112050538</v>
      </c>
      <c r="C12" s="34">
        <v>112219740</v>
      </c>
      <c r="D12" s="34">
        <v>82981716</v>
      </c>
      <c r="E12" s="34">
        <v>57337110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70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2026-09-19T00:06:42Z</dcterms:modified>
</cp:coreProperties>
</file>