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<sst xmlns="http://schemas.openxmlformats.org/spreadsheetml/2006/main" count="112" uniqueCount="100">
  <si>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Perenti Limited (PRN.AX)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</si>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</sst>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0.050426295698546175</v>
      </c>
    </row>
    <row r="7" spans="1:2" x14ac:dyDescent="0.25">
      <c r="A7" t="s">
        <v>5</v>
      </c>
      <c r="B7" s="6">
        <v>0.07135717261706187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0.10707043497192792</v>
      </c>
    </row>
    <row r="10" spans="1:2" x14ac:dyDescent="0.25">
      <c r="A10" t="s">
        <v>8</v>
      </c>
      <c r="B10" s="6">
        <v>0.1058862254183813</v>
      </c>
    </row>
    <row r="11" spans="1:2" x14ac:dyDescent="0.25">
      <c r="A11" t="s">
        <v>9</v>
      </c>
      <c r="B11" s="6">
        <v>-0.2087089733335141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3.864165154939119</v>
      </c>
    </row>
    <row r="14" spans="1:3" x14ac:dyDescent="0.25">
      <c r="A14" t="s">
        <v>12</v>
      </c>
      <c r="B14" s="6">
        <v>0.08002169739738516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0.5444</v>
      </c>
      <c r="C19" s="8" t="s">
        <v>19</v>
      </c>
    </row>
    <row r="20" spans="1:2" x14ac:dyDescent="0.25">
      <c r="A20" t="s">
        <v>20</v>
      </c>
      <c r="B20" s="10">
        <f>B17+B19*B18</f>
        <v>0.086144</v>
      </c>
    </row>
    <row r="21" spans="1:3" x14ac:dyDescent="0.25">
      <c r="A21" t="s">
        <v>21</v>
      </c>
      <c r="B21" s="6">
        <v>0.08197425430230751</v>
      </c>
      <c r="C21" s="8" t="s">
        <v>22</v>
      </c>
    </row>
    <row r="22" spans="1:2" x14ac:dyDescent="0.25">
      <c r="A22" t="s">
        <v>23</v>
      </c>
      <c r="B22" s="11">
        <v>2112648832</v>
      </c>
    </row>
    <row r="23" spans="1:2" x14ac:dyDescent="0.25">
      <c r="A23" t="s">
        <v>24</v>
      </c>
      <c r="B23" s="11">
        <v>571309000</v>
      </c>
    </row>
    <row r="24" spans="1:2" x14ac:dyDescent="0.25">
      <c r="A24" t="s">
        <v>25</v>
      </c>
      <c r="B24" s="10">
        <f>B22/(B22+B23)</f>
        <v>0.7871393532385422</v>
      </c>
    </row>
    <row r="25" spans="1:2" x14ac:dyDescent="0.25">
      <c r="A25" t="s">
        <v>26</v>
      </c>
      <c r="B25" s="10">
        <f>1-B24</f>
        <v>0.21286064676145777</v>
      </c>
    </row>
    <row r="26" spans="1:2" x14ac:dyDescent="0.25">
      <c r="A26" t="s">
        <v>27</v>
      </c>
      <c r="B26" s="12">
        <f>B24*B20+B25*B21*(1-B8)</f>
        <v>0.08002169739738516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3338180000</v>
      </c>
      <c r="C29" s="8" t="s">
        <v>30</v>
      </c>
    </row>
    <row r="30" spans="1:2" x14ac:dyDescent="0.25">
      <c r="A30" t="s">
        <v>31</v>
      </c>
      <c r="B30" s="11">
        <v>248785000</v>
      </c>
    </row>
    <row r="31" spans="1:2" x14ac:dyDescent="0.25">
      <c r="A31" t="s">
        <v>32</v>
      </c>
      <c r="B31" s="13">
        <v>936578399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0.050426295698546175</v>
      </c>
      <c r="C5" s="10">
        <f>Assumptions!B6</f>
        <v>0.050426295698546175</v>
      </c>
      <c r="D5" s="10">
        <f>Assumptions!B6</f>
        <v>0.050426295698546175</v>
      </c>
      <c r="E5" s="10">
        <f>Assumptions!B6</f>
        <v>0.050426295698546175</v>
      </c>
      <c r="F5" s="10">
        <f>Assumptions!B6</f>
        <v>0.050426295698546175</v>
      </c>
    </row>
    <row r="6" spans="1:6" x14ac:dyDescent="0.25">
      <c r="A6" t="s">
        <v>43</v>
      </c>
      <c r="B6" s="18">
        <f>Assumptions!B29*(1+B5)</f>
        <v>3506512051.774973</v>
      </c>
      <c r="C6" s="18">
        <f>B6*(1+C5)</f>
        <v>3683332465.368294</v>
      </c>
      <c r="D6" s="18">
        <f>C6*(1+D5)</f>
        <v>3869069277.4230103</v>
      </c>
      <c r="E6" s="18">
        <f>D6*(1+E5)</f>
        <v>4064172108.8845034</v>
      </c>
      <c r="F6" s="18">
        <f>E6*(1+F5)</f>
        <v>4269113253.4168973</v>
      </c>
    </row>
    <row r="7" spans="1:6" x14ac:dyDescent="0.25">
      <c r="A7" t="s">
        <v>5</v>
      </c>
      <c r="B7" s="10">
        <f>Assumptions!B7</f>
        <v>0.07135717261706187</v>
      </c>
      <c r="C7" s="10">
        <f>Assumptions!B7</f>
        <v>0.07135717261706187</v>
      </c>
      <c r="D7" s="10">
        <f>Assumptions!B7</f>
        <v>0.07135717261706187</v>
      </c>
      <c r="E7" s="10">
        <f>Assumptions!B7</f>
        <v>0.07135717261706187</v>
      </c>
      <c r="F7" s="10">
        <f>Assumptions!B7</f>
        <v>0.07135717261706187</v>
      </c>
    </row>
    <row r="8" spans="1:6" x14ac:dyDescent="0.25">
      <c r="A8" t="s">
        <v>44</v>
      </c>
      <c r="B8" s="18">
        <f>B6*B7</f>
        <v>250214785.76231453</v>
      </c>
      <c r="C8" s="18">
        <f>C6*C7</f>
        <v>262832190.5373134</v>
      </c>
      <c r="D8" s="18">
        <f>D6*D7</f>
        <v>276085844.2964446</v>
      </c>
      <c r="E8" s="18">
        <f>E6*E7</f>
        <v>290007830.7191199</v>
      </c>
      <c r="F8" s="18">
        <f>F6*F7</f>
        <v>304631851.34585613</v>
      </c>
    </row>
    <row r="9" spans="1:6" x14ac:dyDescent="0.25">
      <c r="A9" t="s">
        <v>45</v>
      </c>
      <c r="B9" s="18">
        <f>B8*(1-Assumptions!B8)</f>
        <v>175150350.03362015</v>
      </c>
      <c r="C9" s="18">
        <f>C8*(1-Assumptions!B8)</f>
        <v>183982533.37611938</v>
      </c>
      <c r="D9" s="18">
        <f>D8*(1-Assumptions!B8)</f>
        <v>193260091.0075112</v>
      </c>
      <c r="E9" s="18">
        <f>E8*(1-Assumptions!B8)</f>
        <v>203005481.50338393</v>
      </c>
      <c r="F9" s="18">
        <f>F8*(1-Assumptions!B8)</f>
        <v>213242295.94209927</v>
      </c>
    </row>
    <row r="10" spans="1:6" x14ac:dyDescent="0.25">
      <c r="A10" t="s">
        <v>46</v>
      </c>
      <c r="B10" s="18">
        <f>B6*Assumptions!B9</f>
        <v>375443770.61785376</v>
      </c>
      <c r="C10" s="18">
        <f>C6*Assumptions!B9</f>
        <v>394376009.2132068</v>
      </c>
      <c r="D10" s="18">
        <f>D6*Assumptions!B9</f>
        <v>414262930.4702046</v>
      </c>
      <c r="E10" s="18">
        <f>E6*Assumptions!B9</f>
        <v>435152675.4990414</v>
      </c>
      <c r="F10" s="18">
        <f>F6*Assumptions!B9</f>
        <v>457095812.98776954</v>
      </c>
    </row>
    <row r="11" spans="1:6" x14ac:dyDescent="0.25">
      <c r="A11" t="s">
        <v>47</v>
      </c>
      <c r="B11" s="18">
        <f>-B6*Assumptions!B10</f>
        <v>-371291325.5465155</v>
      </c>
      <c r="C11" s="18">
        <f>-C6*Assumptions!B10</f>
        <v>-390014171.7188293</v>
      </c>
      <c r="D11" s="18">
        <f>-D6*Assumptions!B10</f>
        <v>-409681141.66854656</v>
      </c>
      <c r="E11" s="18">
        <f>-E6*Assumptions!B10</f>
        <v>-430339844.0604426</v>
      </c>
      <c r="F11" s="18">
        <f>-F6*Assumptions!B10</f>
        <v>-452040288.28790075</v>
      </c>
    </row>
    <row r="12" spans="1:6" x14ac:dyDescent="0.25">
      <c r="A12" t="s">
        <v>48</v>
      </c>
      <c r="B12" s="18">
        <f>-(B6-Assumptions!B29)*Assumptions!B11</f>
        <v>35132409.705078535</v>
      </c>
      <c r="C12" s="18">
        <f>-(C6-B6)*Assumptions!B11</f>
        <v>36904006.985469334</v>
      </c>
      <c r="D12" s="18">
        <f>-(D6-C6)*Assumptions!B11</f>
        <v>38764939.35417976</v>
      </c>
      <c r="E12" s="18">
        <f>-(E6-D6)*Assumptions!B11</f>
        <v>40719711.64878984</v>
      </c>
      <c r="F12" s="18">
        <f>-(F6-E6)*Assumptions!B11</f>
        <v>42773055.869151264</v>
      </c>
    </row>
    <row r="13" spans="1:6" x14ac:dyDescent="0.25">
      <c r="A13" s="19" t="s">
        <v>49</v>
      </c>
      <c r="B13" s="20">
        <f>B9+B10+B11+B12</f>
        <v>214435204.8100369</v>
      </c>
      <c r="C13" s="20">
        <f>C9+C10+C11+C12</f>
        <v>225248377.8559662</v>
      </c>
      <c r="D13" s="20">
        <f>D9+D10+D11+D12</f>
        <v>236606819.16334894</v>
      </c>
      <c r="E13" s="20">
        <f>E9+E10+E11+E12</f>
        <v>248538024.5907725</v>
      </c>
      <c r="F13" s="20">
        <f>F9+F10+F11+F12</f>
        <v>261070876.51111934</v>
      </c>
    </row>
    <row r="14" spans="1:6" x14ac:dyDescent="0.25">
      <c r="A14" t="s">
        <v>50</v>
      </c>
      <c r="B14" s="21">
        <f>1/(1+Assumptions!$B$26)^(1-0.5*Assumptions!$B$32)</f>
        <v>0.962240782901327</v>
      </c>
      <c r="C14" s="21">
        <f>1/(1+Assumptions!$B$26)^(2-0.5*Assumptions!$B$32)</f>
        <v>0.8909457886078731</v>
      </c>
      <c r="D14" s="21">
        <f>1/(1+Assumptions!$B$26)^(3-0.5*Assumptions!$B$32)</f>
        <v>0.8249332312071661</v>
      </c>
      <c r="E14" s="21">
        <f>1/(1+Assumptions!$B$26)^(4-0.5*Assumptions!$B$32)</f>
        <v>0.7638117208154929</v>
      </c>
      <c r="F14" s="21">
        <f>1/(1+Assumptions!$B$26)^(5-0.5*Assumptions!$B$32)</f>
        <v>0.7072188666728745</v>
      </c>
    </row>
    <row r="15" spans="1:6" x14ac:dyDescent="0.25">
      <c r="A15" s="19" t="s">
        <v>51</v>
      </c>
      <c r="B15" s="20">
        <f>B13*B14</f>
        <v>206338299.3580163</v>
      </c>
      <c r="C15" s="20">
        <f>C13*C14</f>
        <v>200684093.641528</v>
      </c>
      <c r="D15" s="20">
        <f>D13*D14</f>
        <v>195184827.85807106</v>
      </c>
      <c r="E15" s="20">
        <f>E13*E14</f>
        <v>189836256.25076124</v>
      </c>
      <c r="F15" s="20">
        <f>F13*F14</f>
        <v>184634249.40748778</v>
      </c>
    </row>
    <row r="17" spans="1:2" x14ac:dyDescent="0.25">
      <c r="A17" s="22" t="s">
        <v>52</v>
      </c>
      <c r="B17" s="23">
        <f>SUM(B15:F15)</f>
        <v>976677726.5158644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261070876.51111934</v>
      </c>
    </row>
    <row r="5" spans="1:2" x14ac:dyDescent="0.25">
      <c r="A5" t="s">
        <v>56</v>
      </c>
      <c r="B5" s="18">
        <f>IF(Assumptions!$B$33=0,B4,B4-Forecast!F11-Forecast!F10-Forecast!F12)</f>
        <v>213242295.94209927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0.31241526752239224</v>
      </c>
    </row>
    <row r="7" spans="1:2" x14ac:dyDescent="0.25">
      <c r="A7" t="s">
        <v>58</v>
      </c>
      <c r="B7" s="18">
        <f>-MAX(Forecast!F9,0)*B6</f>
        <v>-66620148.93384008</v>
      </c>
    </row>
    <row r="8" spans="1:2" x14ac:dyDescent="0.25">
      <c r="A8" t="s">
        <v>59</v>
      </c>
      <c r="B8" s="18">
        <f>IF(OR(Assumptions!$B$33=0,Assumptions!B12&lt;=0),B5,MAX(B5+B7,0))</f>
        <v>146622147.00825918</v>
      </c>
    </row>
    <row r="9" spans="1:2" x14ac:dyDescent="0.25">
      <c r="A9" t="s">
        <v>60</v>
      </c>
      <c r="B9" s="18">
        <f>B8*(1+Assumptions!B12)/(Assumptions!B26-Assumptions!B12)</f>
        <v>2731426106.287442</v>
      </c>
    </row>
    <row r="10" spans="1:2" x14ac:dyDescent="0.25">
      <c r="A10" t="s">
        <v>61</v>
      </c>
      <c r="B10" s="18">
        <f>B9/(1+Assumptions!B26)^(5-0.5*Assumptions!B32)</f>
        <v>1931716075.2893074</v>
      </c>
    </row>
    <row r="11" spans="1:2" x14ac:dyDescent="0.25">
      <c r="A11" t="s">
        <v>62</v>
      </c>
      <c r="B11" s="18">
        <f>Forecast!B17+B10</f>
        <v>2908393801.805172</v>
      </c>
    </row>
    <row r="12" spans="1:2" x14ac:dyDescent="0.25">
      <c r="A12" t="s">
        <v>63</v>
      </c>
      <c r="B12" s="18">
        <f>-Assumptions!B30</f>
        <v>-248785000</v>
      </c>
    </row>
    <row r="13" spans="1:2" x14ac:dyDescent="0.25">
      <c r="A13" t="s">
        <v>64</v>
      </c>
      <c r="B13" s="18">
        <f>B11+B12</f>
        <v>2659608801.805172</v>
      </c>
    </row>
    <row r="14" spans="1:2" x14ac:dyDescent="0.25">
      <c r="A14" s="19" t="s">
        <v>65</v>
      </c>
      <c r="B14" s="24">
        <f>B13/Assumptions!B31</f>
        <v>2.8397076044513514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761727664.3336257</v>
      </c>
    </row>
    <row r="18" spans="1:2" x14ac:dyDescent="0.25">
      <c r="A18" t="s">
        <v>60</v>
      </c>
      <c r="B18" s="18">
        <f>B17*Assumptions!B13</f>
        <v>2943441498.071158</v>
      </c>
    </row>
    <row r="19" spans="1:2" x14ac:dyDescent="0.25">
      <c r="A19" t="s">
        <v>61</v>
      </c>
      <c r="B19" s="18">
        <f>B18/(1+Assumptions!B26)^(5-0.5*Assumptions!B32)</f>
        <v>2081657360.3837922</v>
      </c>
    </row>
    <row r="20" spans="1:2" x14ac:dyDescent="0.25">
      <c r="A20" t="s">
        <v>62</v>
      </c>
      <c r="B20" s="18">
        <f>Forecast!B17+B19</f>
        <v>3058335086.8996563</v>
      </c>
    </row>
    <row r="21" spans="1:2" x14ac:dyDescent="0.25">
      <c r="A21" t="s">
        <v>63</v>
      </c>
      <c r="B21" s="18">
        <f>-Assumptions!B30</f>
        <v>-248785000</v>
      </c>
    </row>
    <row r="22" spans="1:2" x14ac:dyDescent="0.25">
      <c r="A22" t="s">
        <v>64</v>
      </c>
      <c r="B22" s="18">
        <f>B20+B21</f>
        <v>2809550086.8996563</v>
      </c>
    </row>
    <row r="23" spans="1:2" x14ac:dyDescent="0.25">
      <c r="A23" s="19" t="s">
        <v>65</v>
      </c>
      <c r="B23" s="25">
        <f>B22/Assumptions!B31</f>
        <v>2.999802354933083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2.26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2.8397076044513514</v>
      </c>
    </row>
    <row r="29" spans="1:2" x14ac:dyDescent="0.25">
      <c r="A29" s="19" t="s">
        <v>73</v>
      </c>
      <c r="B29" s="12">
        <f>B28/B26-1</f>
        <v>0.2565077895802441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0.060022</v>
      </c>
      <c r="B5" s="31">
        <v>3.810924191103511</v>
      </c>
      <c r="C5" s="31">
        <v>3.837043426212916</v>
      </c>
      <c r="D5" s="31">
        <v>3.8665504439913456</v>
      </c>
      <c r="E5" s="31">
        <v>3.901137894496606</v>
      </c>
      <c r="F5" s="31">
        <v>3.9438513572548097</v>
      </c>
    </row>
    <row r="6" spans="1:6" x14ac:dyDescent="0.25">
      <c r="A6" s="30">
        <v>0.070022</v>
      </c>
      <c r="B6" s="31">
        <v>3.2351069912043866</v>
      </c>
      <c r="C6" s="31">
        <v>3.2470963932660637</v>
      </c>
      <c r="D6" s="31">
        <v>3.259085795327739</v>
      </c>
      <c r="E6" s="31">
        <v>3.271075197389415</v>
      </c>
      <c r="F6" s="31">
        <v>3.2830645994510914</v>
      </c>
    </row>
    <row r="7" spans="1:6" x14ac:dyDescent="0.25">
      <c r="A7" s="30">
        <v>0.080022</v>
      </c>
      <c r="B7" s="31">
        <v>2.8195743996885176</v>
      </c>
      <c r="C7" s="31">
        <v>2.829635445023003</v>
      </c>
      <c r="D7" s="32">
        <v>2.8396964903574875</v>
      </c>
      <c r="E7" s="31">
        <v>2.8497575356919733</v>
      </c>
      <c r="F7" s="31">
        <v>2.859818581026458</v>
      </c>
    </row>
    <row r="8" spans="1:6" x14ac:dyDescent="0.25">
      <c r="A8" s="30">
        <v>0.090022</v>
      </c>
      <c r="B8" s="31">
        <v>2.4957960242135484</v>
      </c>
      <c r="C8" s="31">
        <v>2.504376114824976</v>
      </c>
      <c r="D8" s="31">
        <v>2.512956205436404</v>
      </c>
      <c r="E8" s="31">
        <v>2.5215362960478314</v>
      </c>
      <c r="F8" s="31">
        <v>2.530116386659259</v>
      </c>
    </row>
    <row r="9" spans="1:6" x14ac:dyDescent="0.25">
      <c r="A9" s="30">
        <v>0.100022</v>
      </c>
      <c r="B9" s="31">
        <v>2.2362826533746003</v>
      </c>
      <c r="C9" s="31">
        <v>2.2436940066208892</v>
      </c>
      <c r="D9" s="31">
        <v>2.2511053598671777</v>
      </c>
      <c r="E9" s="31">
        <v>2.2585167131134676</v>
      </c>
      <c r="F9" s="31">
        <v>2.265928066359756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3338180000</v>
      </c>
      <c r="C5" s="18">
        <v>3489546000</v>
      </c>
      <c r="D5" s="18">
        <v>3342020000</v>
      </c>
      <c r="E5" s="18">
        <v>2880136000</v>
      </c>
      <c r="F5" s="8" t="s">
        <v>84</v>
      </c>
    </row>
    <row r="6" spans="1:6" x14ac:dyDescent="0.25">
      <c r="A6" t="s">
        <v>44</v>
      </c>
      <c r="B6" s="18">
        <v>291828000</v>
      </c>
      <c r="C6" s="18">
        <v>226926000</v>
      </c>
      <c r="D6" s="18">
        <v>224729000</v>
      </c>
      <c r="E6" s="18">
        <v>189322000</v>
      </c>
      <c r="F6" s="8" t="s">
        <v>85</v>
      </c>
    </row>
    <row r="7" spans="1:6" x14ac:dyDescent="0.25">
      <c r="A7" t="s">
        <v>86</v>
      </c>
      <c r="B7" s="18">
        <v>319283000</v>
      </c>
      <c r="C7" s="18">
        <v>380597000</v>
      </c>
      <c r="D7" s="18">
        <v>378585000</v>
      </c>
      <c r="E7" s="18">
        <v>317644000</v>
      </c>
      <c r="F7" s="8" t="s">
        <v>87</v>
      </c>
    </row>
    <row r="8" spans="1:6" x14ac:dyDescent="0.25">
      <c r="A8" t="s">
        <v>88</v>
      </c>
      <c r="B8" s="18">
        <v>348726000</v>
      </c>
      <c r="C8" s="18">
        <v>310453000</v>
      </c>
      <c r="D8" s="18">
        <v>335154000</v>
      </c>
      <c r="E8" s="18">
        <v>373921000</v>
      </c>
      <c r="F8" s="8" t="s">
        <v>89</v>
      </c>
    </row>
    <row r="9" spans="1:6" x14ac:dyDescent="0.25">
      <c r="A9" t="s">
        <v>90</v>
      </c>
      <c r="B9" s="18">
        <v>35583000</v>
      </c>
      <c r="C9" s="18">
        <v>-30790000</v>
      </c>
      <c r="D9" s="18">
        <v>102005000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571309000</v>
      </c>
      <c r="C10" s="18">
        <v>786044000</v>
      </c>
      <c r="D10" s="18">
        <v>928604000</v>
      </c>
      <c r="E10" s="18">
        <v>806362000</v>
      </c>
      <c r="F10" s="8" t="s">
        <v>93</v>
      </c>
    </row>
    <row r="11" spans="1:6" x14ac:dyDescent="0.25">
      <c r="A11" t="s">
        <v>94</v>
      </c>
      <c r="B11" s="18">
        <v>322524000</v>
      </c>
      <c r="C11" s="18">
        <v>481322000</v>
      </c>
      <c r="D11" s="18">
        <v>459136000</v>
      </c>
      <c r="E11" s="18">
        <v>307360000</v>
      </c>
      <c r="F11" s="8" t="s">
        <v>95</v>
      </c>
    </row>
    <row r="12" spans="1:6" x14ac:dyDescent="0.25">
      <c r="A12" t="s">
        <v>32</v>
      </c>
      <c r="B12" s="34">
        <v>936578399</v>
      </c>
      <c r="C12" s="34">
        <v>957261905</v>
      </c>
      <c r="D12" s="34">
        <v>909295238</v>
      </c>
      <c r="E12" s="34">
        <v>714470149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2026-09-19T01:03:27Z</dcterms:modified>
</cp:coreProperties>
</file>