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<sst xmlns="http://schemas.openxmlformats.org/spreadsheetml/2006/main" count="114" uniqueCount="102">
  <si>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Perseus Mining Limited (PRU.AX)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</si>
  <si>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</si>
  <si>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</si>
  <si>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</si>
  <si>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</si>
  <si>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</si>
  <si>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</si>
  <si>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</si>
  <si>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</si>
  <si>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</si>
  <si>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</si>
  <si>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</si>
  <si>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</si>
  <si>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</si>
  <si>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</si>
  <si>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</si>
  <si>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</si>
  <si>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</si>
  <si>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</si>
  <si>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</si>
  <si>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</si>
  <si>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</si>
  <si>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489.3%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</si>
  <si>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</si>
  <si>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</si>
  <si>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</si>
  <si>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</si>
  <si>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</si>
  <si>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</si>
  <si>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</si>
  <si>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</si>
  <si>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</si>
  <si>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</si>
  <si>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</si>
  <si>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</si>
  <si>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</si>
  <si>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</si>
  <si>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</si>
  <si>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</si>
  <si>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</si>
  <si>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</si>
  <si>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</si>
  <si>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</si>
  <si>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</si>
  <si>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</si>
  <si>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</si>
  <si>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</si>
  <si>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</si>
  <si>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</si>
  <si>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</si>
  <si>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</si>
  <si>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</si>
  <si>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</si>
  <si>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</si>
  <si>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</si>
  <si>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</si>
  <si>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</si>
  <si>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</si>
  <si>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</si>
  <si>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</si>
  <si>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</si>
  <si>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</si>
  <si>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</si>
  <si>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</si>
  <si>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</si>
  <si>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</si>
  <si>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</si>
  <si>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</si>
  <si>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</si>
  <si>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</si>
  <si>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</si>
  <si>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</si>
  <si>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</si>
  <si>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</si>
  <si>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</si>
  <si>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</si>
  <si>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</si>
  <si>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</si>
  <si>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</si>
  <si>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</si>
  <si>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</si>
  <si>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</si>
  <si>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</si>
  <si>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</si>
  <si>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</si>
  <si>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</si>
  <si>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</si>
  <si>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</si>
  <si>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</si>
  <si>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</si>
  <si>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</si>
  <si>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</si>
  <si>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</si>
  <si>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</si>
  <si>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</si>
  <si>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</si>
  <si>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</si>
  <si>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</si>
  <si>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</si>
  <si>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</si>
  <si>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Capital expenditure runs at 18.5% of revenue against depreciation of 12.4%.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</si>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</sst>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0.1626494845226074</v>
      </c>
    </row>
    <row r="7" spans="1:2" x14ac:dyDescent="0.25">
      <c r="A7" t="s">
        <v>5</v>
      </c>
      <c r="B7" s="6">
        <v>0.44556268008183986</v>
      </c>
    </row>
    <row r="8" spans="1:2" x14ac:dyDescent="0.25">
      <c r="A8" t="s">
        <v>6</v>
      </c>
      <c r="B8" s="6">
        <v>0.23599029111356182</v>
      </c>
    </row>
    <row r="9" spans="1:2" x14ac:dyDescent="0.25">
      <c r="A9" t="s">
        <v>7</v>
      </c>
      <c r="B9" s="6">
        <v>0.12366985328928659</v>
      </c>
    </row>
    <row r="10" spans="1:2" x14ac:dyDescent="0.25">
      <c r="A10" t="s">
        <v>8</v>
      </c>
      <c r="B10" s="6">
        <v>0.18515616192142276</v>
      </c>
    </row>
    <row r="11" spans="1:2" x14ac:dyDescent="0.25">
      <c r="A11" t="s">
        <v>9</v>
      </c>
      <c r="B11" s="6">
        <v>-0.20115254467276722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9.442456640380795</v>
      </c>
    </row>
    <row r="14" spans="1:3" x14ac:dyDescent="0.25">
      <c r="A14" t="s">
        <v>12</v>
      </c>
      <c r="B14" s="6">
        <v>0.22396321046569473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1.0388600000000001</v>
      </c>
      <c r="C19" s="8" t="s">
        <v>19</v>
      </c>
    </row>
    <row r="20" spans="1:2" x14ac:dyDescent="0.25">
      <c r="A20" t="s">
        <v>20</v>
      </c>
      <c r="B20" s="10">
        <f>B17+B19*B18</f>
        <v>0.11581160000000001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8745796608</v>
      </c>
    </row>
    <row r="23" spans="1:2" x14ac:dyDescent="0.25">
      <c r="A23" t="s">
        <v>24</v>
      </c>
      <c r="B23" s="11">
        <v>2110000</v>
      </c>
    </row>
    <row r="24" spans="1:2" x14ac:dyDescent="0.25">
      <c r="A24" t="s">
        <v>25</v>
      </c>
      <c r="B24" s="10">
        <f>B22/(B22+B23)</f>
        <v>0.9997587994368766</v>
      </c>
    </row>
    <row r="25" spans="1:2" x14ac:dyDescent="0.25">
      <c r="A25" t="s">
        <v>26</v>
      </c>
      <c r="B25" s="10">
        <f>1-B24</f>
        <v>0.00024120056312337823</v>
      </c>
    </row>
    <row r="26" spans="1:2" x14ac:dyDescent="0.25">
      <c r="A26" t="s">
        <v>27</v>
      </c>
      <c r="B26" s="12">
        <f>B24*B20+B25*B21*(1-B8)</f>
        <v>0.11579720703981547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1483908000</v>
      </c>
      <c r="C29" s="8" t="s">
        <v>30</v>
      </c>
    </row>
    <row r="30" spans="1:2" x14ac:dyDescent="0.25">
      <c r="A30" t="s">
        <v>31</v>
      </c>
      <c r="B30" s="11">
        <v>-921947000</v>
      </c>
    </row>
    <row r="31" spans="1:2" x14ac:dyDescent="0.25">
      <c r="A31" t="s">
        <v>32</v>
      </c>
      <c r="B31" s="13">
        <v>1358208056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0.1626494845226074</v>
      </c>
      <c r="C5" s="10">
        <f>Assumptions!B6</f>
        <v>0.1626494845226074</v>
      </c>
      <c r="D5" s="10">
        <f>Assumptions!B6</f>
        <v>0.1626494845226074</v>
      </c>
      <c r="E5" s="10">
        <f>Assumptions!B6</f>
        <v>0.1626494845226074</v>
      </c>
      <c r="F5" s="10">
        <f>Assumptions!B6</f>
        <v>0.1626494845226074</v>
      </c>
    </row>
    <row r="6" spans="1:6" x14ac:dyDescent="0.25">
      <c r="A6" t="s">
        <v>43</v>
      </c>
      <c r="B6" s="18">
        <f>Assumptions!B29*(1+B5)</f>
        <v>1725264871.2789733</v>
      </c>
      <c r="C6" s="18">
        <f>B6*(1+C5)</f>
        <v>2005878313.257461</v>
      </c>
      <c r="D6" s="18">
        <f>C6*(1+D5)</f>
        <v>2332133386.9238644</v>
      </c>
      <c r="E6" s="18">
        <f>D6*(1+E5)</f>
        <v>2711453680.1449933</v>
      </c>
      <c r="F6" s="18">
        <f>E6*(1+F5)</f>
        <v>3152470223.5275035</v>
      </c>
    </row>
    <row r="7" spans="1:6" x14ac:dyDescent="0.25">
      <c r="A7" t="s">
        <v>5</v>
      </c>
      <c r="B7" s="10">
        <f>Assumptions!B7</f>
        <v>0.44556268008183986</v>
      </c>
      <c r="C7" s="10">
        <f>Assumptions!B7</f>
        <v>0.44556268008183986</v>
      </c>
      <c r="D7" s="10">
        <f>Assumptions!B7</f>
        <v>0.44556268008183986</v>
      </c>
      <c r="E7" s="10">
        <f>Assumptions!B7</f>
        <v>0.44556268008183986</v>
      </c>
      <c r="F7" s="10">
        <f>Assumptions!B7</f>
        <v>0.44556268008183986</v>
      </c>
    </row>
    <row r="8" spans="1:6" x14ac:dyDescent="0.25">
      <c r="A8" t="s">
        <v>44</v>
      </c>
      <c r="B8" s="18">
        <f>B6*B7</f>
        <v>768713639.8981098</v>
      </c>
      <c r="C8" s="18">
        <f>C6*C7</f>
        <v>893744517.1730347</v>
      </c>
      <c r="D8" s="18">
        <f>D6*D7</f>
        <v>1039111602.1861354</v>
      </c>
      <c r="E8" s="18">
        <f>E6*E7</f>
        <v>1208122568.643171</v>
      </c>
      <c r="F8" s="18">
        <f>F6*F7</f>
        <v>1404623081.6731112</v>
      </c>
    </row>
    <row r="9" spans="1:6" x14ac:dyDescent="0.25">
      <c r="A9" t="s">
        <v>45</v>
      </c>
      <c r="B9" s="18">
        <f>B8*(1-Assumptions!B8)</f>
        <v>587304684.2355891</v>
      </c>
      <c r="C9" s="18">
        <f>C8*(1-Assumptions!B8)</f>
        <v>682829488.3842205</v>
      </c>
      <c r="D9" s="18">
        <f>D8*(1-Assumptions!B8)</f>
        <v>793891352.6867497</v>
      </c>
      <c r="E9" s="18">
        <f>E8*(1-Assumptions!B8)</f>
        <v>923017371.968205</v>
      </c>
      <c r="F9" s="18">
        <f>F8*(1-Assumptions!B8)</f>
        <v>1073145671.7242453</v>
      </c>
    </row>
    <row r="10" spans="1:6" x14ac:dyDescent="0.25">
      <c r="A10" t="s">
        <v>46</v>
      </c>
      <c r="B10" s="18">
        <f>B6*Assumptions!B9</f>
        <v>213363253.51623055</v>
      </c>
      <c r="C10" s="18">
        <f>C6*Assumptions!B9</f>
        <v>248066676.71671185</v>
      </c>
      <c r="D10" s="18">
        <f>D6*Assumptions!B9</f>
        <v>288414593.81192136</v>
      </c>
      <c r="E10" s="18">
        <f>E6*Assumptions!B9</f>
        <v>335325078.8242275</v>
      </c>
      <c r="F10" s="18">
        <f>F6*Assumptions!B9</f>
        <v>389865530.04249084</v>
      </c>
    </row>
    <row r="11" spans="1:6" x14ac:dyDescent="0.25">
      <c r="A11" t="s">
        <v>47</v>
      </c>
      <c r="B11" s="18">
        <f>-B6*Assumptions!B10</f>
        <v>-319443421.8638722</v>
      </c>
      <c r="C11" s="18">
        <f>-C6*Assumptions!B10</f>
        <v>-371400729.7641688</v>
      </c>
      <c r="D11" s="18">
        <f>-D6*Assumptions!B10</f>
        <v>-431808867.0116311</v>
      </c>
      <c r="E11" s="18">
        <f>-E6*Assumptions!B10</f>
        <v>-502042356.643364</v>
      </c>
      <c r="F11" s="18">
        <f>-F6*Assumptions!B10</f>
        <v>-583699287.1599222</v>
      </c>
    </row>
    <row r="12" spans="1:6" x14ac:dyDescent="0.25">
      <c r="A12" t="s">
        <v>48</v>
      </c>
      <c r="B12" s="18">
        <f>-(B6-Assumptions!B29)*Assumptions!B11</f>
        <v>48549548.83202301</v>
      </c>
      <c r="C12" s="18">
        <f>-(C6-B6)*Assumptions!B11</f>
        <v>56446107.92335673</v>
      </c>
      <c r="D12" s="18">
        <f>-(D6-C6)*Assumptions!B11</f>
        <v>65627038.280398145</v>
      </c>
      <c r="E12" s="18">
        <f>-(E6-D6)*Assumptions!B11</f>
        <v>76301242.2274503</v>
      </c>
      <c r="F12" s="18">
        <f>-(F6-E6)*Assumptions!B11</f>
        <v>88711599.94417976</v>
      </c>
    </row>
    <row r="13" spans="1:6" x14ac:dyDescent="0.25">
      <c r="A13" s="19" t="s">
        <v>49</v>
      </c>
      <c r="B13" s="20">
        <f>B9+B10+B11+B12</f>
        <v>529774064.7199706</v>
      </c>
      <c r="C13" s="20">
        <f>C9+C10+C11+C12</f>
        <v>615941543.2601204</v>
      </c>
      <c r="D13" s="20">
        <f>D9+D10+D11+D12</f>
        <v>716124117.7674382</v>
      </c>
      <c r="E13" s="20">
        <f>E9+E10+E11+E12</f>
        <v>832601336.3765188</v>
      </c>
      <c r="F13" s="20">
        <f>F9+F10+F11+F12</f>
        <v>968023514.5509936</v>
      </c>
    </row>
    <row r="14" spans="1:6" x14ac:dyDescent="0.25">
      <c r="A14" t="s">
        <v>50</v>
      </c>
      <c r="B14" s="21">
        <f>1/(1+Assumptions!$B$26)^(1-0.5*Assumptions!$B$32)</f>
        <v>0.9466890743732503</v>
      </c>
      <c r="C14" s="21">
        <f>1/(1+Assumptions!$B$26)^(2-0.5*Assumptions!$B$32)</f>
        <v>0.8484418749216939</v>
      </c>
      <c r="D14" s="21">
        <f>1/(1+Assumptions!$B$26)^(3-0.5*Assumptions!$B$32)</f>
        <v>0.7603907498322126</v>
      </c>
      <c r="E14" s="21">
        <f>1/(1+Assumptions!$B$26)^(4-0.5*Assumptions!$B$32)</f>
        <v>0.6814775525827959</v>
      </c>
      <c r="F14" s="21">
        <f>1/(1+Assumptions!$B$26)^(5-0.5*Assumptions!$B$32)</f>
        <v>0.6107539508821144</v>
      </c>
    </row>
    <row r="15" spans="1:6" x14ac:dyDescent="0.25">
      <c r="A15" s="19" t="s">
        <v>51</v>
      </c>
      <c r="B15" s="20">
        <f>B13*B14</f>
        <v>501531318.95670336</v>
      </c>
      <c r="C15" s="20">
        <f>C13*C14</f>
        <v>522590597.80577815</v>
      </c>
      <c r="D15" s="20">
        <f>D13*D14</f>
        <v>544534154.882114</v>
      </c>
      <c r="E15" s="20">
        <f>E13*E14</f>
        <v>567399120.9910352</v>
      </c>
      <c r="F15" s="20">
        <f>F13*F14</f>
        <v>591224186.0588093</v>
      </c>
    </row>
    <row r="17" spans="1:2" x14ac:dyDescent="0.25">
      <c r="A17" s="22" t="s">
        <v>52</v>
      </c>
      <c r="B17" s="23">
        <f>SUM(B15:F15)</f>
        <v>2727279378.69444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968023514.5509936</v>
      </c>
    </row>
    <row r="5" spans="1:2" x14ac:dyDescent="0.25">
      <c r="A5" t="s">
        <v>56</v>
      </c>
      <c r="B5" s="18">
        <f>IF(Assumptions!$B$33=0,B4,B4-Forecast!F11-Forecast!F10-Forecast!F12)</f>
        <v>1073145671.7242453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0.11162547611286963</v>
      </c>
    </row>
    <row r="7" spans="1:2" x14ac:dyDescent="0.25">
      <c r="A7" t="s">
        <v>58</v>
      </c>
      <c r="B7" s="18">
        <f>-MAX(Forecast!F9,0)*B6</f>
        <v>-119790396.54468419</v>
      </c>
    </row>
    <row r="8" spans="1:2" x14ac:dyDescent="0.25">
      <c r="A8" t="s">
        <v>59</v>
      </c>
      <c r="B8" s="18">
        <f>IF(OR(Assumptions!$B$33=0,Assumptions!B12&lt;=0),B5,MAX(B5+B7,0))</f>
        <v>953355275.1795611</v>
      </c>
    </row>
    <row r="9" spans="1:2" x14ac:dyDescent="0.25">
      <c r="A9" t="s">
        <v>60</v>
      </c>
      <c r="B9" s="18">
        <f>B8*(1+Assumptions!B12)/(Assumptions!B26-Assumptions!B12)</f>
        <v>10762326165.281086</v>
      </c>
    </row>
    <row r="10" spans="1:2" x14ac:dyDescent="0.25">
      <c r="A10" t="s">
        <v>61</v>
      </c>
      <c r="B10" s="18">
        <f>B9/(1+Assumptions!B26)^(5-0.5*Assumptions!B32)</f>
        <v>6573133226.127378</v>
      </c>
    </row>
    <row r="11" spans="1:2" x14ac:dyDescent="0.25">
      <c r="A11" t="s">
        <v>62</v>
      </c>
      <c r="B11" s="18">
        <f>Forecast!B17+B10</f>
        <v>9300412604.82182</v>
      </c>
    </row>
    <row r="12" spans="1:2" x14ac:dyDescent="0.25">
      <c r="A12" t="s">
        <v>63</v>
      </c>
      <c r="B12" s="18">
        <f>-Assumptions!B30</f>
        <v>921947000</v>
      </c>
    </row>
    <row r="13" spans="1:2" x14ac:dyDescent="0.25">
      <c r="A13" t="s">
        <v>64</v>
      </c>
      <c r="B13" s="18">
        <f>B11+B12</f>
        <v>10222359604.82182</v>
      </c>
    </row>
    <row r="14" spans="1:2" x14ac:dyDescent="0.25">
      <c r="A14" s="19" t="s">
        <v>65</v>
      </c>
      <c r="B14" s="24">
        <f>B13/Assumptions!B31</f>
        <v>7.526357659022617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1794488611.715602</v>
      </c>
    </row>
    <row r="18" spans="1:2" x14ac:dyDescent="0.25">
      <c r="A18" t="s">
        <v>60</v>
      </c>
      <c r="B18" s="18">
        <f>B17*Assumptions!B13</f>
        <v>16944380907.7817</v>
      </c>
    </row>
    <row r="19" spans="1:2" x14ac:dyDescent="0.25">
      <c r="A19" t="s">
        <v>61</v>
      </c>
      <c r="B19" s="18">
        <f>B18/(1+Assumptions!B26)^(5-0.5*Assumptions!B32)</f>
        <v>10348847584.67914</v>
      </c>
    </row>
    <row r="20" spans="1:2" x14ac:dyDescent="0.25">
      <c r="A20" t="s">
        <v>62</v>
      </c>
      <c r="B20" s="18">
        <f>Forecast!B17+B19</f>
        <v>13076126963.37358</v>
      </c>
    </row>
    <row r="21" spans="1:2" x14ac:dyDescent="0.25">
      <c r="A21" t="s">
        <v>63</v>
      </c>
      <c r="B21" s="18">
        <f>-Assumptions!B30</f>
        <v>921947000</v>
      </c>
    </row>
    <row r="22" spans="1:2" x14ac:dyDescent="0.25">
      <c r="A22" t="s">
        <v>64</v>
      </c>
      <c r="B22" s="18">
        <f>B20+B21</f>
        <v>13998073963.37358</v>
      </c>
    </row>
    <row r="23" spans="1:2" x14ac:dyDescent="0.25">
      <c r="A23" s="19" t="s">
        <v>65</v>
      </c>
      <c r="B23" s="25">
        <f>B22/Assumptions!B31</f>
        <v>10.306281060207157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6.59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10.568511424799558</v>
      </c>
    </row>
    <row r="29" spans="1:2" x14ac:dyDescent="0.25">
      <c r="A29" s="19" t="s">
        <v>73</v>
      </c>
      <c r="B29" s="12">
        <f>B28/B26-1</f>
        <v>0.6037194878299785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0.095797</v>
      </c>
      <c r="B5" s="31">
        <v>8.919284065984451</v>
      </c>
      <c r="C5" s="31">
        <v>9.19898445404806</v>
      </c>
      <c r="D5" s="31">
        <v>9.516541455275716</v>
      </c>
      <c r="E5" s="31">
        <v>9.88058539016016</v>
      </c>
      <c r="F5" s="31">
        <v>10.302585640494106</v>
      </c>
    </row>
    <row r="6" spans="1:6" x14ac:dyDescent="0.25">
      <c r="A6" s="30">
        <v>0.105797</v>
      </c>
      <c r="B6" s="31">
        <v>7.975508532649883</v>
      </c>
      <c r="C6" s="31">
        <v>8.174906470344888</v>
      </c>
      <c r="D6" s="31">
        <v>8.397594770157585</v>
      </c>
      <c r="E6" s="31">
        <v>8.648182525215217</v>
      </c>
      <c r="F6" s="31">
        <v>8.932580887525267</v>
      </c>
    </row>
    <row r="7" spans="1:6" x14ac:dyDescent="0.25">
      <c r="A7" s="30">
        <v>0.115797</v>
      </c>
      <c r="B7" s="31">
        <v>7.220681906669613</v>
      </c>
      <c r="C7" s="31">
        <v>7.366112512146996</v>
      </c>
      <c r="D7" s="32">
        <v>7.526373697535339</v>
      </c>
      <c r="E7" s="31">
        <v>7.704058312219408</v>
      </c>
      <c r="F7" s="31">
        <v>7.902401023816017</v>
      </c>
    </row>
    <row r="8" spans="1:6" x14ac:dyDescent="0.25">
      <c r="A8" s="30">
        <v>0.125797</v>
      </c>
      <c r="B8" s="31">
        <v>6.6035710434129085</v>
      </c>
      <c r="C8" s="31">
        <v>6.711494885646477</v>
      </c>
      <c r="D8" s="31">
        <v>6.829099019861858</v>
      </c>
      <c r="E8" s="31">
        <v>6.9578991968625985</v>
      </c>
      <c r="F8" s="31">
        <v>7.099745044299173</v>
      </c>
    </row>
    <row r="9" spans="1:6" x14ac:dyDescent="0.25">
      <c r="A9" s="30">
        <v>0.135797</v>
      </c>
      <c r="B9" s="31">
        <v>6.089911535264323</v>
      </c>
      <c r="C9" s="31">
        <v>6.171057482270899</v>
      </c>
      <c r="D9" s="31">
        <v>6.258629624310817</v>
      </c>
      <c r="E9" s="31">
        <v>6.353539073471377</v>
      </c>
      <c r="F9" s="31">
        <v>6.4568777234280805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1483908000</v>
      </c>
      <c r="C5" s="18">
        <v>1248082000</v>
      </c>
      <c r="D5" s="18">
        <v>1025799000</v>
      </c>
      <c r="E5" s="18">
        <v>944192542.678043</v>
      </c>
      <c r="F5" s="8" t="s">
        <v>84</v>
      </c>
    </row>
    <row r="6" spans="1:6" x14ac:dyDescent="0.25">
      <c r="A6" t="s">
        <v>44</v>
      </c>
      <c r="B6" s="18">
        <v>711699000</v>
      </c>
      <c r="C6" s="18">
        <v>565484000</v>
      </c>
      <c r="D6" s="18">
        <v>462231000</v>
      </c>
      <c r="E6" s="18">
        <v>376686767.324406</v>
      </c>
      <c r="F6" s="8" t="s">
        <v>85</v>
      </c>
    </row>
    <row r="7" spans="1:6" x14ac:dyDescent="0.25">
      <c r="A7" t="s">
        <v>86</v>
      </c>
      <c r="B7" s="18">
        <v>116883000</v>
      </c>
      <c r="C7" s="18">
        <v>153805000</v>
      </c>
      <c r="D7" s="18">
        <v>142382000</v>
      </c>
      <c r="E7" s="18">
        <v>145290687.283631</v>
      </c>
      <c r="F7" s="8" t="s">
        <v>87</v>
      </c>
    </row>
    <row r="8" spans="1:6" x14ac:dyDescent="0.25">
      <c r="A8" t="s">
        <v>88</v>
      </c>
      <c r="B8" s="18">
        <v>469094000</v>
      </c>
      <c r="C8" s="18">
        <v>207121000</v>
      </c>
      <c r="D8" s="18">
        <v>121283000</v>
      </c>
      <c r="E8" s="18">
        <v>132488929.193172</v>
      </c>
      <c r="F8" s="8" t="s">
        <v>89</v>
      </c>
    </row>
    <row r="9" spans="1:6" x14ac:dyDescent="0.25">
      <c r="A9" t="s">
        <v>90</v>
      </c>
      <c r="B9" s="18">
        <v>-47437000</v>
      </c>
      <c r="C9" s="18">
        <v>-14324000</v>
      </c>
      <c r="D9" s="18">
        <v>-27370977.110404007</v>
      </c>
      <c r="E9" s="18">
        <v>0</v>
      </c>
      <c r="F9" s="8" t="s">
        <v>91</v>
      </c>
    </row>
    <row r="10" spans="1:6" x14ac:dyDescent="0.25">
      <c r="A10" t="s">
        <v>92</v>
      </c>
      <c r="B10" s="18">
        <v>2110000</v>
      </c>
      <c r="C10" s="18">
        <v>2754000</v>
      </c>
      <c r="D10" s="18">
        <v>3220000</v>
      </c>
      <c r="E10" s="18">
        <v>2582857.294156</v>
      </c>
      <c r="F10" s="8" t="s">
        <v>93</v>
      </c>
    </row>
    <row r="11" spans="1:6" x14ac:dyDescent="0.25">
      <c r="A11" t="s">
        <v>94</v>
      </c>
      <c r="B11" s="18">
        <v>924057000</v>
      </c>
      <c r="C11" s="18">
        <v>751829000</v>
      </c>
      <c r="D11" s="18">
        <v>536914000</v>
      </c>
      <c r="E11" s="18">
        <v>482493231.74889</v>
      </c>
      <c r="F11" s="8" t="s">
        <v>95</v>
      </c>
    </row>
    <row r="12" spans="1:6" x14ac:dyDescent="0.25">
      <c r="A12" t="s">
        <v>32</v>
      </c>
      <c r="B12" s="34">
        <v>1358208056</v>
      </c>
      <c r="C12" s="34">
        <v>1381769747</v>
      </c>
      <c r="D12" s="34">
        <v>1382861407</v>
      </c>
      <c r="E12" s="34">
        <v>1379612653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