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<sst xmlns="http://schemas.openxmlformats.org/spreadsheetml/2006/main" count="113" uniqueCount="101">
  <si>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Prysmian S.p.A. (PRY.MI)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</si>
  <si>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</si>
  <si>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</si>
  <si>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</si>
  <si>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</si>
  <si>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</si>
  <si>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</si>
  <si>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</si>
  <si>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</si>
  <si>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</si>
  <si>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</si>
  <si>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</si>
  <si>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</si>
  <si>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</si>
  <si>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</si>
  <si>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</si>
  <si>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</si>
  <si>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</si>
  <si>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</si>
  <si>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</si>
  <si>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</si>
  <si>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</si>
  <si>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</si>
  <si>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</si>
  <si>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</si>
  <si>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</si>
  <si>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</si>
  <si>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</si>
  <si>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</si>
  <si>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</si>
  <si>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</si>
  <si>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</si>
  <si>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</si>
  <si>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</si>
  <si>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</si>
  <si>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</si>
  <si>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</si>
  <si>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</si>
  <si>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</si>
  <si>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</si>
  <si>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</si>
  <si>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</si>
  <si>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</si>
  <si>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</si>
  <si>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</si>
  <si>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</si>
  <si>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</si>
  <si>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</si>
  <si>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</si>
  <si>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</si>
  <si>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</si>
  <si>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</si>
  <si>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</si>
  <si>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</si>
  <si>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</si>
  <si>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</si>
  <si>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</si>
  <si>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</si>
  <si>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</si>
  <si>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</si>
  <si>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</si>
  <si>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</si>
  <si>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</si>
  <si>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</si>
  <si>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</si>
  <si>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</si>
  <si>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</si>
  <si>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</si>
  <si>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</si>
  <si>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</si>
  <si>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</si>
  <si>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</si>
  <si>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</si>
  <si>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</si>
  <si>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</si>
  <si>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</si>
  <si>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</si>
  <si>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</si>
  <si>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</si>
  <si>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</si>
  <si>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</si>
  <si>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</si>
  <si>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</si>
  <si>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</si>
  <si>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</si>
  <si>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</si>
  <si>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</si>
  <si>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</si>
  <si>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</si>
  <si>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</si>
  <si>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</si>
  <si>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</si>
  <si>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</si>
  <si>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</si>
  <si>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</si>
  <si>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</si>
  <si>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</si>
  <si>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</si>
  <si>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3.9% of revenue against depreciation of 3.1%.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</si>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</sst>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0.06940592757821373</v>
      </c>
    </row>
    <row r="7" spans="1:2" x14ac:dyDescent="0.25">
      <c r="A7" t="s">
        <v>5</v>
      </c>
      <c r="B7" s="6">
        <v>0.06462028607255273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0.030561556662225788</v>
      </c>
    </row>
    <row r="10" spans="1:2" x14ac:dyDescent="0.25">
      <c r="A10" t="s">
        <v>8</v>
      </c>
      <c r="B10" s="6">
        <v>0.0389319571623395</v>
      </c>
    </row>
    <row r="11" spans="1:2" x14ac:dyDescent="0.25">
      <c r="A11" t="s">
        <v>9</v>
      </c>
      <c r="B11" s="6">
        <v>-0.053734756097560975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18.89316350783848</v>
      </c>
    </row>
    <row r="14" spans="1:3" x14ac:dyDescent="0.25">
      <c r="A14" t="s">
        <v>12</v>
      </c>
      <c r="B14" s="6">
        <v>0.09605427682401892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0.9571200000000001</v>
      </c>
      <c r="C19" s="8" t="s">
        <v>19</v>
      </c>
    </row>
    <row r="20" spans="1:2" x14ac:dyDescent="0.25">
      <c r="A20" t="s">
        <v>20</v>
      </c>
      <c r="B20" s="10">
        <f>B17+B19*B18</f>
        <v>0.10421280000000001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36646109184</v>
      </c>
    </row>
    <row r="23" spans="1:2" x14ac:dyDescent="0.25">
      <c r="A23" t="s">
        <v>24</v>
      </c>
      <c r="B23" s="11">
        <v>5208000000</v>
      </c>
    </row>
    <row r="24" spans="1:2" x14ac:dyDescent="0.25">
      <c r="A24" t="s">
        <v>25</v>
      </c>
      <c r="B24" s="10">
        <f>B22/(B22+B23)</f>
        <v>0.8755677733551926</v>
      </c>
    </row>
    <row r="25" spans="1:2" x14ac:dyDescent="0.25">
      <c r="A25" t="s">
        <v>26</v>
      </c>
      <c r="B25" s="10">
        <f>1-B24</f>
        <v>0.12443222664480735</v>
      </c>
    </row>
    <row r="26" spans="1:2" x14ac:dyDescent="0.25">
      <c r="A26" t="s">
        <v>27</v>
      </c>
      <c r="B26" s="12">
        <f>B24*B20+B25*B21*(1-B8)</f>
        <v>0.09516498439042145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19650000000</v>
      </c>
      <c r="C29" s="8" t="s">
        <v>30</v>
      </c>
    </row>
    <row r="30" spans="1:2" x14ac:dyDescent="0.25">
      <c r="A30" t="s">
        <v>31</v>
      </c>
      <c r="B30" s="11">
        <v>3124000000</v>
      </c>
    </row>
    <row r="31" spans="1:2" x14ac:dyDescent="0.25">
      <c r="A31" t="s">
        <v>32</v>
      </c>
      <c r="B31" s="13">
        <v>295348837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0.06940592757821373</v>
      </c>
      <c r="C5" s="10">
        <f>Assumptions!B6</f>
        <v>0.06940592757821373</v>
      </c>
      <c r="D5" s="10">
        <f>Assumptions!B6</f>
        <v>0.06940592757821373</v>
      </c>
      <c r="E5" s="10">
        <f>Assumptions!B6</f>
        <v>0.06940592757821373</v>
      </c>
      <c r="F5" s="10">
        <f>Assumptions!B6</f>
        <v>0.06940592757821373</v>
      </c>
    </row>
    <row r="6" spans="1:6" x14ac:dyDescent="0.25">
      <c r="A6" t="s">
        <v>43</v>
      </c>
      <c r="B6" s="18">
        <f>Assumptions!B29*(1+B5)</f>
        <v>21013826476.9119</v>
      </c>
      <c r="C6" s="18">
        <f>B6*(1+C5)</f>
        <v>22472310595.509598</v>
      </c>
      <c r="D6" s="18">
        <f>C6*(1+D5)</f>
        <v>24032022157.216663</v>
      </c>
      <c r="E6" s="18">
        <f>D6*(1+E5)</f>
        <v>25699986946.61847</v>
      </c>
      <c r="F6" s="18">
        <f>E6*(1+F5)</f>
        <v>27483718379.396507</v>
      </c>
    </row>
    <row r="7" spans="1:6" x14ac:dyDescent="0.25">
      <c r="A7" t="s">
        <v>5</v>
      </c>
      <c r="B7" s="10">
        <f>Assumptions!B7</f>
        <v>0.06462028607255273</v>
      </c>
      <c r="C7" s="10">
        <f>Assumptions!B7</f>
        <v>0.06462028607255273</v>
      </c>
      <c r="D7" s="10">
        <f>Assumptions!B7</f>
        <v>0.06462028607255273</v>
      </c>
      <c r="E7" s="10">
        <f>Assumptions!B7</f>
        <v>0.06462028607255273</v>
      </c>
      <c r="F7" s="10">
        <f>Assumptions!B7</f>
        <v>0.06462028607255273</v>
      </c>
    </row>
    <row r="8" spans="1:6" x14ac:dyDescent="0.25">
      <c r="A8" t="s">
        <v>44</v>
      </c>
      <c r="B8" s="18">
        <f>B6*B7</f>
        <v>1357919478.4170299</v>
      </c>
      <c r="C8" s="18">
        <f>C6*C7</f>
        <v>1452167139.3930879</v>
      </c>
      <c r="D8" s="18">
        <f>D6*D7</f>
        <v>1552956146.7012665</v>
      </c>
      <c r="E8" s="18">
        <f>E6*E7</f>
        <v>1660740508.5513563</v>
      </c>
      <c r="F8" s="18">
        <f>F6*F7</f>
        <v>1776005744.0140774</v>
      </c>
    </row>
    <row r="9" spans="1:6" x14ac:dyDescent="0.25">
      <c r="A9" t="s">
        <v>45</v>
      </c>
      <c r="B9" s="18">
        <f>B8*(1-Assumptions!B8)</f>
        <v>1018439608.8127724</v>
      </c>
      <c r="C9" s="18">
        <f>C8*(1-Assumptions!B8)</f>
        <v>1089125354.544816</v>
      </c>
      <c r="D9" s="18">
        <f>D8*(1-Assumptions!B8)</f>
        <v>1164717110.02595</v>
      </c>
      <c r="E9" s="18">
        <f>E8*(1-Assumptions!B8)</f>
        <v>1245555381.4135172</v>
      </c>
      <c r="F9" s="18">
        <f>F8*(1-Assumptions!B8)</f>
        <v>1332004308.0105581</v>
      </c>
    </row>
    <row r="10" spans="1:6" x14ac:dyDescent="0.25">
      <c r="A10" t="s">
        <v>46</v>
      </c>
      <c r="B10" s="18">
        <f>B6*Assumptions!B9</f>
        <v>642215248.5643235</v>
      </c>
      <c r="C10" s="18">
        <f>C6*Assumptions!B9</f>
        <v>686788793.5958035</v>
      </c>
      <c r="D10" s="18">
        <f>D6*Assumptions!B9</f>
        <v>734456006.8656427</v>
      </c>
      <c r="E10" s="18">
        <f>E6*Assumptions!B9</f>
        <v>785431607.2875434</v>
      </c>
      <c r="F10" s="18">
        <f>F6*Assumptions!B9</f>
        <v>839945216.5405827</v>
      </c>
    </row>
    <row r="11" spans="1:6" x14ac:dyDescent="0.25">
      <c r="A11" t="s">
        <v>47</v>
      </c>
      <c r="B11" s="18">
        <f>-B6*Assumptions!B10</f>
        <v>-818109392.2159697</v>
      </c>
      <c r="C11" s="18">
        <f>-C6*Assumptions!B10</f>
        <v>-874891033.4431677</v>
      </c>
      <c r="D11" s="18">
        <f>-D6*Assumptions!B10</f>
        <v>-935613657.1491529</v>
      </c>
      <c r="E11" s="18">
        <f>-E6*Assumptions!B10</f>
        <v>-1000550790.8784345</v>
      </c>
      <c r="F11" s="18">
        <f>-F6*Assumptions!B10</f>
        <v>-1069994946.6084676</v>
      </c>
    </row>
    <row r="12" spans="1:6" x14ac:dyDescent="0.25">
      <c r="A12" t="s">
        <v>48</v>
      </c>
      <c r="B12" s="18">
        <f>-(B6-Assumptions!B29)*Assumptions!B11</f>
        <v>73284883.09625679</v>
      </c>
      <c r="C12" s="18">
        <f>-(C6-B6)*Assumptions!B11</f>
        <v>78371288.3850135</v>
      </c>
      <c r="D12" s="18">
        <f>-(D6-C6)*Assumptions!B11</f>
        <v>83810720.3508751</v>
      </c>
      <c r="E12" s="18">
        <f>-(E6-D6)*Assumptions!B11</f>
        <v>89627681.1378257</v>
      </c>
      <c r="F12" s="18">
        <f>-(F6-E6)*Assumptions!B11</f>
        <v>95848373.48388085</v>
      </c>
    </row>
    <row r="13" spans="1:6" x14ac:dyDescent="0.25">
      <c r="A13" s="19" t="s">
        <v>49</v>
      </c>
      <c r="B13" s="20">
        <f>B9+B10+B11+B12</f>
        <v>915830348.2573831</v>
      </c>
      <c r="C13" s="20">
        <f>C9+C10+C11+C12</f>
        <v>979394403.0824653</v>
      </c>
      <c r="D13" s="20">
        <f>D9+D10+D11+D12</f>
        <v>1047370180.0933148</v>
      </c>
      <c r="E13" s="20">
        <f>E9+E10+E11+E12</f>
        <v>1120063878.9604518</v>
      </c>
      <c r="F13" s="20">
        <f>F9+F10+F11+F12</f>
        <v>1197802951.426554</v>
      </c>
    </row>
    <row r="14" spans="1:6" x14ac:dyDescent="0.25">
      <c r="A14" t="s">
        <v>50</v>
      </c>
      <c r="B14" s="21">
        <f>1/(1+Assumptions!$B$26)^(1-0.5*Assumptions!$B$32)</f>
        <v>0.955564980035562</v>
      </c>
      <c r="C14" s="21">
        <f>1/(1+Assumptions!$B$26)^(2-0.5*Assumptions!$B$32)</f>
        <v>0.8725306174461357</v>
      </c>
      <c r="D14" s="21">
        <f>1/(1+Assumptions!$B$26)^(3-0.5*Assumptions!$B$32)</f>
        <v>0.7967115730346274</v>
      </c>
      <c r="E14" s="21">
        <f>1/(1+Assumptions!$B$26)^(4-0.5*Assumptions!$B$32)</f>
        <v>0.7274808676229583</v>
      </c>
      <c r="F14" s="21">
        <f>1/(1+Assumptions!$B$26)^(5-0.5*Assumptions!$B$32)</f>
        <v>0.6642660037454362</v>
      </c>
    </row>
    <row r="15" spans="1:6" x14ac:dyDescent="0.25">
      <c r="A15" s="19" t="s">
        <v>51</v>
      </c>
      <c r="B15" s="20">
        <f>B13*B14</f>
        <v>875135408.448528</v>
      </c>
      <c r="C15" s="20">
        <f>C13*C14</f>
        <v>854551603.244833</v>
      </c>
      <c r="D15" s="20">
        <f>D13*D14</f>
        <v>834451943.7317058</v>
      </c>
      <c r="E15" s="20">
        <f>E13*E14</f>
        <v>814825042.4592856</v>
      </c>
      <c r="F15" s="20">
        <f>F13*F14</f>
        <v>795659779.8186058</v>
      </c>
    </row>
    <row r="17" spans="1:2" x14ac:dyDescent="0.25">
      <c r="A17" s="22" t="s">
        <v>52</v>
      </c>
      <c r="B17" s="23">
        <f>SUM(B15:F15)</f>
        <v>4174623777.7029586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1197802951.426554</v>
      </c>
    </row>
    <row r="5" spans="1:2" x14ac:dyDescent="0.25">
      <c r="A5" t="s">
        <v>56</v>
      </c>
      <c r="B5" s="18">
        <f>IF(Assumptions!$B$33=0,B4,B4-Forecast!F11-Forecast!F10-Forecast!F12)</f>
        <v>1399853415.4235225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0.2602695145558434</v>
      </c>
    </row>
    <row r="7" spans="1:2" x14ac:dyDescent="0.25">
      <c r="A7" t="s">
        <v>58</v>
      </c>
      <c r="B7" s="18">
        <f>-MAX(Forecast!F9,0)*B6</f>
        <v>-364339168.8816196</v>
      </c>
    </row>
    <row r="8" spans="1:2" x14ac:dyDescent="0.25">
      <c r="A8" t="s">
        <v>59</v>
      </c>
      <c r="B8" s="18">
        <f>IF(OR(Assumptions!$B$33=0,Assumptions!B12&lt;=0),B5,MAX(B5+B7,0))</f>
        <v>1035514246.5419029</v>
      </c>
    </row>
    <row r="9" spans="1:2" x14ac:dyDescent="0.25">
      <c r="A9" t="s">
        <v>60</v>
      </c>
      <c r="B9" s="18">
        <f>B8*(1+Assumptions!B12)/(Assumptions!B26-Assumptions!B12)</f>
        <v>15127233504.385233</v>
      </c>
    </row>
    <row r="10" spans="1:2" x14ac:dyDescent="0.25">
      <c r="A10" t="s">
        <v>61</v>
      </c>
      <c r="B10" s="18">
        <f>B9/(1+Assumptions!B26)^(5-0.5*Assumptions!B32)</f>
        <v>10048506947.682049</v>
      </c>
    </row>
    <row r="11" spans="1:2" x14ac:dyDescent="0.25">
      <c r="A11" t="s">
        <v>62</v>
      </c>
      <c r="B11" s="18">
        <f>Forecast!B17+B10</f>
        <v>14223130725.385008</v>
      </c>
    </row>
    <row r="12" spans="1:2" x14ac:dyDescent="0.25">
      <c r="A12" t="s">
        <v>63</v>
      </c>
      <c r="B12" s="18">
        <f>-Assumptions!B30</f>
        <v>-3124000000</v>
      </c>
    </row>
    <row r="13" spans="1:2" x14ac:dyDescent="0.25">
      <c r="A13" t="s">
        <v>64</v>
      </c>
      <c r="B13" s="18">
        <f>B11+B12</f>
        <v>11099130725.385008</v>
      </c>
    </row>
    <row r="14" spans="1:2" x14ac:dyDescent="0.25">
      <c r="A14" s="19" t="s">
        <v>65</v>
      </c>
      <c r="B14" s="24">
        <f>B13/Assumptions!B31</f>
        <v>37.57973397872228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2615950960.55466</v>
      </c>
    </row>
    <row r="18" spans="1:2" x14ac:dyDescent="0.25">
      <c r="A18" t="s">
        <v>60</v>
      </c>
      <c r="B18" s="18">
        <f>B17*Assumptions!B13</f>
        <v>49423589226.246315</v>
      </c>
    </row>
    <row r="19" spans="1:2" x14ac:dyDescent="0.25">
      <c r="A19" t="s">
        <v>61</v>
      </c>
      <c r="B19" s="18">
        <f>B18/(1+Assumptions!B26)^(5-0.5*Assumptions!B32)</f>
        <v>32830410106.074635</v>
      </c>
    </row>
    <row r="20" spans="1:2" x14ac:dyDescent="0.25">
      <c r="A20" t="s">
        <v>62</v>
      </c>
      <c r="B20" s="18">
        <f>Forecast!B17+B19</f>
        <v>37005033883.777596</v>
      </c>
    </row>
    <row r="21" spans="1:2" x14ac:dyDescent="0.25">
      <c r="A21" t="s">
        <v>63</v>
      </c>
      <c r="B21" s="18">
        <f>-Assumptions!B30</f>
        <v>-3124000000</v>
      </c>
    </row>
    <row r="22" spans="1:2" x14ac:dyDescent="0.25">
      <c r="A22" t="s">
        <v>64</v>
      </c>
      <c r="B22" s="18">
        <f>B20+B21</f>
        <v>33881033883.777596</v>
      </c>
    </row>
    <row r="23" spans="1:2" x14ac:dyDescent="0.25">
      <c r="A23" s="19" t="s">
        <v>65</v>
      </c>
      <c r="B23" s="25">
        <f>B22/Assumptions!B31</f>
        <v>114.71531165628933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122.45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37.57973397872228</v>
      </c>
    </row>
    <row r="29" spans="1:2" x14ac:dyDescent="0.25">
      <c r="A29" s="19" t="s">
        <v>73</v>
      </c>
      <c r="B29" s="12">
        <f>B28/B26-1</f>
        <v>-0.6931013966621292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0.075165</v>
      </c>
      <c r="B5" s="31">
        <v>52.91149367332339</v>
      </c>
      <c r="C5" s="31">
        <v>54.29445915129002</v>
      </c>
      <c r="D5" s="31">
        <v>55.91761341406854</v>
      </c>
      <c r="E5" s="31">
        <v>57.86072689832854</v>
      </c>
      <c r="F5" s="31">
        <v>60.24329140843254</v>
      </c>
    </row>
    <row r="6" spans="1:6" x14ac:dyDescent="0.25">
      <c r="A6" s="30">
        <v>0.085165</v>
      </c>
      <c r="B6" s="31">
        <v>43.93172606741258</v>
      </c>
      <c r="C6" s="31">
        <v>44.54391598601637</v>
      </c>
      <c r="D6" s="31">
        <v>45.2294703365944</v>
      </c>
      <c r="E6" s="31">
        <v>46.008337754687574</v>
      </c>
      <c r="F6" s="31">
        <v>46.908420084464645</v>
      </c>
    </row>
    <row r="7" spans="1:6" x14ac:dyDescent="0.25">
      <c r="A7" s="30">
        <v>0.095165</v>
      </c>
      <c r="B7" s="31">
        <v>37.195198834855354</v>
      </c>
      <c r="C7" s="31">
        <v>37.385573692134265</v>
      </c>
      <c r="D7" s="32">
        <v>37.579723733503585</v>
      </c>
      <c r="E7" s="31">
        <v>37.778517949393105</v>
      </c>
      <c r="F7" s="31">
        <v>37.98311419931919</v>
      </c>
    </row>
    <row r="8" spans="1:6" x14ac:dyDescent="0.25">
      <c r="A8" s="30">
        <v>0.105165</v>
      </c>
      <c r="B8" s="31">
        <v>32.41567772307575</v>
      </c>
      <c r="C8" s="31">
        <v>32.559366888635026</v>
      </c>
      <c r="D8" s="31">
        <v>32.703056054194285</v>
      </c>
      <c r="E8" s="31">
        <v>32.846745219753544</v>
      </c>
      <c r="F8" s="31">
        <v>32.9904343853128</v>
      </c>
    </row>
    <row r="9" spans="1:6" x14ac:dyDescent="0.25">
      <c r="A9" s="30">
        <v>0.115165</v>
      </c>
      <c r="B9" s="31">
        <v>28.52605925526033</v>
      </c>
      <c r="C9" s="31">
        <v>28.652059300683142</v>
      </c>
      <c r="D9" s="31">
        <v>28.778059346105948</v>
      </c>
      <c r="E9" s="31">
        <v>28.904059391528747</v>
      </c>
      <c r="F9" s="31">
        <v>29.03005943695156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19650000000</v>
      </c>
      <c r="C5" s="18">
        <v>17026000000</v>
      </c>
      <c r="D5" s="18">
        <v>15354000000</v>
      </c>
      <c r="E5" s="18">
        <v>16067000000</v>
      </c>
      <c r="F5" s="8" t="s">
        <v>84</v>
      </c>
    </row>
    <row r="6" spans="1:6" x14ac:dyDescent="0.25">
      <c r="A6" t="s">
        <v>44</v>
      </c>
      <c r="B6" s="18">
        <v>1467000000</v>
      </c>
      <c r="C6" s="18">
        <v>1156000000</v>
      </c>
      <c r="D6" s="18">
        <v>1004000000</v>
      </c>
      <c r="E6" s="18">
        <v>812000000</v>
      </c>
      <c r="F6" s="8" t="s">
        <v>85</v>
      </c>
    </row>
    <row r="7" spans="1:6" x14ac:dyDescent="0.25">
      <c r="A7" t="s">
        <v>86</v>
      </c>
      <c r="B7" s="18">
        <v>638000000</v>
      </c>
      <c r="C7" s="18">
        <v>465000000</v>
      </c>
      <c r="D7" s="18">
        <v>574000000</v>
      </c>
      <c r="E7" s="18">
        <v>403000000</v>
      </c>
      <c r="F7" s="8" t="s">
        <v>87</v>
      </c>
    </row>
    <row r="8" spans="1:6" x14ac:dyDescent="0.25">
      <c r="A8" t="s">
        <v>88</v>
      </c>
      <c r="B8" s="18">
        <v>791000000</v>
      </c>
      <c r="C8" s="18">
        <v>793000000</v>
      </c>
      <c r="D8" s="18">
        <v>624000000</v>
      </c>
      <c r="E8" s="18">
        <v>454000000</v>
      </c>
      <c r="F8" s="8" t="s">
        <v>89</v>
      </c>
    </row>
    <row r="9" spans="1:6" x14ac:dyDescent="0.25">
      <c r="A9" t="s">
        <v>90</v>
      </c>
      <c r="B9" s="18">
        <v>-141000000</v>
      </c>
      <c r="C9" s="18">
        <v>-465000000</v>
      </c>
      <c r="D9" s="18">
        <v>-279000000</v>
      </c>
      <c r="E9" s="18">
        <v>90000000</v>
      </c>
      <c r="F9" s="8" t="s">
        <v>91</v>
      </c>
    </row>
    <row r="10" spans="1:6" x14ac:dyDescent="0.25">
      <c r="A10" t="s">
        <v>92</v>
      </c>
      <c r="B10" s="18">
        <v>5208000000</v>
      </c>
      <c r="C10" s="18">
        <v>5415000000</v>
      </c>
      <c r="D10" s="18">
        <v>3046000000</v>
      </c>
      <c r="E10" s="18">
        <v>3067000000</v>
      </c>
      <c r="F10" s="8" t="s">
        <v>93</v>
      </c>
    </row>
    <row r="11" spans="1:6" x14ac:dyDescent="0.25">
      <c r="A11" t="s">
        <v>94</v>
      </c>
      <c r="B11" s="18">
        <v>2084000000</v>
      </c>
      <c r="C11" s="18">
        <v>1076000000</v>
      </c>
      <c r="D11" s="18">
        <v>1850000000</v>
      </c>
      <c r="E11" s="18">
        <v>1566000000</v>
      </c>
      <c r="F11" s="8" t="s">
        <v>95</v>
      </c>
    </row>
    <row r="12" spans="1:6" x14ac:dyDescent="0.25">
      <c r="A12" t="s">
        <v>32</v>
      </c>
      <c r="B12" s="34">
        <v>295348837</v>
      </c>
      <c r="C12" s="34">
        <v>290647000</v>
      </c>
      <c r="D12" s="34">
        <v>287500000</v>
      </c>
      <c r="E12" s="34">
        <v>265558000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