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<sst xmlns="http://schemas.openxmlformats.org/spreadsheetml/2006/main" count="121" uniqueCount="108">
  <si>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Public Storage (PSA)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</si>
  <si>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</si>
  <si>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</si>
  <si>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</si>
  <si>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</si>
  <si>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</si>
  <si>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</si>
  <si>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</si>
  <si>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</si>
  <si>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</si>
  <si>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</si>
  <si>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</si>
  <si>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</si>
  <si>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</si>
  <si>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</si>
  <si>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</si>
  <si>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</si>
  <si>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</si>
  <si>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</si>
  <si>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</si>
  <si>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</si>
  <si>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</si>
  <si>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</si>
  <si>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</si>
  <si>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7.4x interest cover. Book interest / average debt was lower, at 3.1%.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</si>
  <si>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</si>
  <si>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</si>
  <si>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</si>
  <si>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</si>
  <si>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</si>
  <si>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</si>
  <si>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</si>
  <si>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</si>
  <si>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</si>
  <si>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</si>
  <si>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</si>
  <si>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</si>
  <si>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</si>
  <si>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</si>
  <si>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</si>
  <si>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</si>
  <si>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</si>
  <si>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</si>
  <si>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</si>
  <si>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</si>
  <si>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</si>
  <si>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</si>
  <si>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</si>
  <si>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</si>
  <si>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</si>
  <si>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</si>
  <si>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</si>
  <si>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</si>
  <si>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</si>
  <si>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</si>
  <si>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</si>
  <si>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</si>
  <si>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</si>
  <si>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</si>
  <si>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</si>
  <si>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</si>
  <si>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</si>
  <si>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</si>
  <si>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</si>
  <si>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</si>
  <si>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</si>
  <si>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</si>
  <si>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</si>
  <si>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</si>
  <si>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</si>
  <si>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</si>
  <si>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</si>
  <si>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</si>
  <si>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</si>
  <si>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</si>
  <si>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</si>
  <si>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</si>
  <si>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</si>
  <si>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</si>
  <si>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</si>
  <si>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</si>
  <si>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</si>
  <si>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</si>
  <si>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</si>
  <si>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</si>
  <si>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</si>
  <si>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</si>
  <si>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</si>
  <si>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</si>
  <si>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</si>
  <si>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</si>
  <si>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</si>
  <si>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</si>
  <si>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</si>
  <si>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</si>
  <si>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</si>
  <si>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</si>
  <si>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</si>
  <si>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</si>
  <si>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</si>
  <si>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</si>
  <si>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</si>
  <si>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</si>
  <si>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</si>
  <si>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</si>
  <si>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9.04% of revenue against depreciation and amortisation of 22.66%. A business cannot depreciate more than it invests indefinitely. Capex has been set to 22.66%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</si>
  <si>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20.7x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</si>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</sst>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0.060216363090997316</v>
      </c>
    </row>
    <row r="7" spans="1:2" x14ac:dyDescent="0.25">
      <c r="A7" t="s">
        <v>4</v>
      </c>
      <c r="B7" s="5">
        <v>0.49235427895795714</v>
      </c>
    </row>
    <row r="8" spans="1:2" x14ac:dyDescent="0.25">
      <c r="A8" t="s">
        <v>5</v>
      </c>
      <c r="B8" s="5">
        <v>0.0032703282655344016</v>
      </c>
    </row>
    <row r="9" spans="1:2" x14ac:dyDescent="0.25">
      <c r="A9" t="s">
        <v>6</v>
      </c>
      <c r="B9" s="5">
        <v>0.22661412567615824</v>
      </c>
    </row>
    <row r="10" spans="1:3" x14ac:dyDescent="0.25">
      <c r="A10" t="s">
        <v>7</v>
      </c>
      <c r="B10" s="5">
        <v>0.22661412567615824</v>
      </c>
      <c r="C10" s="6" t="s">
        <v>8</v>
      </c>
    </row>
    <row r="11" spans="1:2" x14ac:dyDescent="0.25">
      <c r="A11" t="s">
        <v>9</v>
      </c>
      <c r="B11" s="5">
        <v>-0.01401589142158961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0.15281330026233028</v>
      </c>
      <c r="C14" s="6" t="s">
        <v>13</v>
      </c>
    </row>
    <row r="15" spans="1:3" x14ac:dyDescent="0.25">
      <c r="A15" t="s">
        <v>14</v>
      </c>
      <c r="B15" s="5">
        <v>0.22661412567615824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0.95243</v>
      </c>
      <c r="C19" s="6" t="s">
        <v>21</v>
      </c>
    </row>
    <row r="20" spans="1:2" x14ac:dyDescent="0.25">
      <c r="A20" t="s">
        <v>22</v>
      </c>
      <c r="B20" s="9">
        <f>B17+B19*B18</f>
        <v>0.089227789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60681146368</v>
      </c>
    </row>
    <row r="23" spans="1:2" x14ac:dyDescent="0.25">
      <c r="A23" t="s">
        <v>26</v>
      </c>
      <c r="B23" s="10">
        <v>10253881000</v>
      </c>
    </row>
    <row r="24" spans="1:2" x14ac:dyDescent="0.25">
      <c r="A24" t="s">
        <v>27</v>
      </c>
      <c r="B24" s="9">
        <f>B22/(B22+B23)</f>
        <v>0.855446859182778</v>
      </c>
    </row>
    <row r="25" spans="1:2" x14ac:dyDescent="0.25">
      <c r="A25" t="s">
        <v>28</v>
      </c>
      <c r="B25" s="9">
        <f>1-B24</f>
        <v>0.14455314081722204</v>
      </c>
    </row>
    <row r="26" spans="1:2" x14ac:dyDescent="0.25">
      <c r="A26" t="s">
        <v>29</v>
      </c>
      <c r="B26" s="11">
        <f>B24*B20+B25*B21*(1-B8)</f>
        <v>0.08417336907802192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4824113000</v>
      </c>
      <c r="C29" s="6" t="s">
        <v>32</v>
      </c>
    </row>
    <row r="30" spans="1:2" x14ac:dyDescent="0.25">
      <c r="A30" t="s">
        <v>33</v>
      </c>
      <c r="B30" s="10">
        <v>9935786000</v>
      </c>
    </row>
    <row r="31" spans="1:2" x14ac:dyDescent="0.25">
      <c r="A31" t="s">
        <v>34</v>
      </c>
      <c r="B31" s="12">
        <v>175902000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0.060216363090997316</v>
      </c>
      <c r="C5" s="5">
        <v>0.07917352671288369</v>
      </c>
      <c r="D5" s="5">
        <v>0.07240183587377323</v>
      </c>
      <c r="E5" s="5">
        <v>0.06563014503466277</v>
      </c>
      <c r="F5" s="5">
        <v>0.05885845419555231</v>
      </c>
      <c r="G5" s="5">
        <v>0.05208676335644184</v>
      </c>
      <c r="H5" s="5">
        <v>0.045315072517331384</v>
      </c>
      <c r="I5" s="5">
        <v>0.038543381678220925</v>
      </c>
      <c r="J5" s="5">
        <v>0.03177169083911046</v>
      </c>
      <c r="K5" s="5">
        <v>0.025</v>
      </c>
    </row>
    <row r="6" spans="1:11" x14ac:dyDescent="0.25">
      <c r="A6" t="s">
        <v>50</v>
      </c>
      <c r="B6" s="18">
        <f>Assumptions!B29*(1+B5)</f>
        <v>5114603540</v>
      </c>
      <c r="C6" s="18">
        <f>B6*(1+C5)</f>
        <v>5519544739.999999</v>
      </c>
      <c r="D6" s="18">
        <f>C6*(1+D5)</f>
        <v>5919169912.363427</v>
      </c>
      <c r="E6" s="18">
        <f>D6*(1+E5)</f>
        <v>6307645892.196651</v>
      </c>
      <c r="F6" s="18">
        <f>E6*(1+F5)</f>
        <v>6678904179.024272</v>
      </c>
      <c r="G6" s="18">
        <f>F6*(1+G5)</f>
        <v>7026786680.47746</v>
      </c>
      <c r="H6" s="18">
        <f>G6*(1+H5)</f>
        <v>7345206028.467114</v>
      </c>
      <c r="I6" s="18">
        <f>H6*(1+I5)</f>
        <v>7628315107.927492</v>
      </c>
      <c r="J6" s="18">
        <f>I6*(1+J5)</f>
        <v>7870679577.159879</v>
      </c>
      <c r="K6" s="18">
        <f>J6*(1+K5)</f>
        <v>8067446566.588875</v>
      </c>
    </row>
    <row r="7" spans="1:11" x14ac:dyDescent="0.25">
      <c r="A7" t="s">
        <v>4</v>
      </c>
      <c r="B7" s="9">
        <f>Assumptions!B7</f>
        <v>0.49235427895795714</v>
      </c>
      <c r="C7" s="9">
        <f>Assumptions!B7</f>
        <v>0.49235427895795714</v>
      </c>
      <c r="D7" s="9">
        <f>Assumptions!B7</f>
        <v>0.49235427895795714</v>
      </c>
      <c r="E7" s="9">
        <f>Assumptions!B7</f>
        <v>0.49235427895795714</v>
      </c>
      <c r="F7" s="9">
        <f>Assumptions!B7</f>
        <v>0.49235427895795714</v>
      </c>
      <c r="G7" s="9">
        <f>Assumptions!B7</f>
        <v>0.49235427895795714</v>
      </c>
      <c r="H7" s="9">
        <f>Assumptions!B7</f>
        <v>0.49235427895795714</v>
      </c>
      <c r="I7" s="9">
        <f>Assumptions!B7</f>
        <v>0.49235427895795714</v>
      </c>
      <c r="J7" s="9">
        <f>Assumptions!B7</f>
        <v>0.49235427895795714</v>
      </c>
      <c r="K7" s="9">
        <f>Assumptions!B7</f>
        <v>0.49235427895795714</v>
      </c>
    </row>
    <row r="8" spans="1:11" x14ac:dyDescent="0.25">
      <c r="A8" t="s">
        <v>51</v>
      </c>
      <c r="B8" s="18">
        <f>B6*B7</f>
        <v>2518196938.092515</v>
      </c>
      <c r="C8" s="18">
        <f>C6*C7</f>
        <v>2717571470.6388845</v>
      </c>
      <c r="D8" s="18">
        <f>D6*D7</f>
        <v>2914328634.2313294</v>
      </c>
      <c r="E8" s="18">
        <f>E6*E7</f>
        <v>3105596445.1746025</v>
      </c>
      <c r="F8" s="18">
        <f>F6*F7</f>
        <v>3288387051.2927823</v>
      </c>
      <c r="G8" s="18">
        <f>G6*G7</f>
        <v>3459668489.457857</v>
      </c>
      <c r="H8" s="18">
        <f>H6*H7</f>
        <v>3616443617.9435663</v>
      </c>
      <c r="I8" s="18">
        <f>I6*I7</f>
        <v>3755833584.6277313</v>
      </c>
      <c r="J8" s="18">
        <f>J6*J7</f>
        <v>3875162768.121671</v>
      </c>
      <c r="K8" s="18">
        <f>K6*K7</f>
        <v>3972041837.3247123</v>
      </c>
    </row>
    <row r="9" spans="1:11" x14ac:dyDescent="0.25">
      <c r="A9" t="s">
        <v>52</v>
      </c>
      <c r="B9" s="18">
        <f>B8*(1-Assumptions!B8)</f>
        <v>2509961607.467689</v>
      </c>
      <c r="C9" s="18">
        <f>C8*(1-Assumptions!B8)</f>
        <v>2708684119.8448443</v>
      </c>
      <c r="D9" s="18">
        <f>D8*(1-Assumptions!B8)</f>
        <v>2904797822.9237466</v>
      </c>
      <c r="E9" s="18">
        <f>E8*(1-Assumptions!B8)</f>
        <v>3095440125.338605</v>
      </c>
      <c r="F9" s="18">
        <f>F8*(1-Assumptions!B8)</f>
        <v>3277632946.1709223</v>
      </c>
      <c r="G9" s="18">
        <f>G8*(1-Assumptions!B8)</f>
        <v>3448354237.8074045</v>
      </c>
      <c r="H9" s="18">
        <f>H8*(1-Assumptions!B8)</f>
        <v>3604616660.159094</v>
      </c>
      <c r="I9" s="18">
        <f>I8*(1-Assumptions!B8)</f>
        <v>3743550775.89528</v>
      </c>
      <c r="J9" s="18">
        <f>J8*(1-Assumptions!B8)</f>
        <v>3862489713.787536</v>
      </c>
      <c r="K9" s="18">
        <f>K8*(1-Assumptions!B8)</f>
        <v>3959051956.632224</v>
      </c>
    </row>
    <row r="10" spans="1:11" x14ac:dyDescent="0.25">
      <c r="A10" t="s">
        <v>53</v>
      </c>
      <c r="B10" s="18">
        <f>B6*Assumptions!B9</f>
        <v>1159041409.3972838</v>
      </c>
      <c r="C10" s="18">
        <f>C6*Assumptions!B9</f>
        <v>1250806805.3855379</v>
      </c>
      <c r="D10" s="18">
        <f>D6*Assumptions!B9</f>
        <v>1341367514.4188602</v>
      </c>
      <c r="E10" s="18">
        <f>E6*Assumptions!B9</f>
        <v>1429401658.9349554</v>
      </c>
      <c r="F10" s="18">
        <f>F6*Assumptions!B9</f>
        <v>1513534031.0044248</v>
      </c>
      <c r="G10" s="18">
        <f>G6*Assumptions!B9</f>
        <v>1592369119.9092739</v>
      </c>
      <c r="H10" s="18">
        <f>H6*Assumptions!B9</f>
        <v>1664527442.052322</v>
      </c>
      <c r="I10" s="18">
        <f>I6*Assumptions!B9</f>
        <v>1728683958.5652173</v>
      </c>
      <c r="J10" s="18">
        <f>J6*Assumptions!B9</f>
        <v>1783607170.8552806</v>
      </c>
      <c r="K10" s="18">
        <f>K6*Assumptions!B9</f>
        <v>1828197350.1266625</v>
      </c>
    </row>
    <row r="11" spans="1:11" x14ac:dyDescent="0.25">
      <c r="A11" t="s">
        <v>54</v>
      </c>
      <c r="B11" s="18">
        <f>-B6*B19</f>
        <v>-1159041409.3972838</v>
      </c>
      <c r="C11" s="18">
        <f>-C6*C19</f>
        <v>-1300044159.3475826</v>
      </c>
      <c r="D11" s="18">
        <f>-D6*D19</f>
        <v>-1446971971.9837873</v>
      </c>
      <c r="E11" s="18">
        <f>-E6*E19</f>
        <v>-1598204599.0817852</v>
      </c>
      <c r="F11" s="18">
        <f>-F6*F19</f>
        <v>-1751851924.6944737</v>
      </c>
      <c r="G11" s="18">
        <f>-G6*G19</f>
        <v>-1905782996.6871345</v>
      </c>
      <c r="H11" s="18">
        <f>-H6*H19</f>
        <v>-2057666941.2507067</v>
      </c>
      <c r="I11" s="18">
        <f>-I6*I19</f>
        <v>-2205025121.0287857</v>
      </c>
      <c r="J11" s="18">
        <f>-J6*J19</f>
        <v>-2345293258.4110556</v>
      </c>
      <c r="K11" s="18">
        <f>-K6*K19</f>
        <v>-2475891619.8394156</v>
      </c>
    </row>
    <row r="12" spans="1:11" x14ac:dyDescent="0.25">
      <c r="A12" t="s">
        <v>55</v>
      </c>
      <c r="B12" s="18">
        <f>-(B6-Assumptions!B29)*Assumptions!B11</f>
        <v>4071483.8676389335</v>
      </c>
      <c r="C12" s="18">
        <f>-(C6-B6)*Assumptions!B11</f>
        <v>5675611.891328189</v>
      </c>
      <c r="D12" s="18">
        <f>-(D6-C6)*Assumptions!B11</f>
        <v>5601103.025179842</v>
      </c>
      <c r="E12" s="18">
        <f>-(E6-D6)*Assumptions!B11</f>
        <v>5444837.1532381065</v>
      </c>
      <c r="F12" s="18">
        <f>-(F6-E6)*Assumptions!B11</f>
        <v>5203515.837541301</v>
      </c>
      <c r="G12" s="18">
        <f>-(G6-F6)*Assumptions!B11</f>
        <v>4875883.367838872</v>
      </c>
      <c r="H12" s="18">
        <f>-(H6-G6)*Assumptions!B11</f>
        <v>4462931.007956356</v>
      </c>
      <c r="I12" s="18">
        <f>-(I6-H6)*Assumptions!B11</f>
        <v>3968026.118182839</v>
      </c>
      <c r="J12" s="18">
        <f>-(J6-I6)*Assumptions!B11</f>
        <v>3396954.085212326</v>
      </c>
      <c r="K12" s="18">
        <f>-(K6-J6)*Assumptions!B11</f>
        <v>2757864.7591898795</v>
      </c>
    </row>
    <row r="13" spans="1:11" x14ac:dyDescent="0.25">
      <c r="A13" s="19" t="s">
        <v>56</v>
      </c>
      <c r="B13" s="20">
        <f>B9+B10+B11+B12</f>
        <v>2514033091.3353286</v>
      </c>
      <c r="C13" s="20">
        <f>C9+C10+C11+C12</f>
        <v>2665122377.7741275</v>
      </c>
      <c r="D13" s="20">
        <f>D9+D10+D11+D12</f>
        <v>2804794468.383999</v>
      </c>
      <c r="E13" s="20">
        <f>E9+E10+E11+E12</f>
        <v>2932082022.3450136</v>
      </c>
      <c r="F13" s="20">
        <f>F9+F10+F11+F12</f>
        <v>3044518568.3184147</v>
      </c>
      <c r="G13" s="20">
        <f>G9+G10+G11+G12</f>
        <v>3139816244.3973827</v>
      </c>
      <c r="H13" s="20">
        <f>H9+H10+H11+H12</f>
        <v>3215940091.968666</v>
      </c>
      <c r="I13" s="20">
        <f>I9+I10+I11+I12</f>
        <v>3271177639.549894</v>
      </c>
      <c r="J13" s="20">
        <f>J9+J10+J11+J12</f>
        <v>3304200580.316973</v>
      </c>
      <c r="K13" s="20">
        <f>K9+K10+K11+K12</f>
        <v>3314115551.678661</v>
      </c>
    </row>
    <row r="14" spans="1:11" x14ac:dyDescent="0.25">
      <c r="A14" t="s">
        <v>57</v>
      </c>
      <c r="B14" s="21">
        <f>1/(1+Assumptions!$B$26)^(1-0.5*Assumptions!$B$32)</f>
        <v>0.9603966407509152</v>
      </c>
      <c r="C14" s="21">
        <f>1/(1+Assumptions!$B$26)^(2-0.5*Assumptions!$B$32)</f>
        <v>0.8858330855033213</v>
      </c>
      <c r="D14" s="21">
        <f>1/(1+Assumptions!$B$26)^(3-0.5*Assumptions!$B$32)</f>
        <v>0.8170585173629853</v>
      </c>
      <c r="E14" s="21">
        <f>1/(1+Assumptions!$B$26)^(4-0.5*Assumptions!$B$32)</f>
        <v>0.7536234892559753</v>
      </c>
      <c r="F14" s="21">
        <f>1/(1+Assumptions!$B$26)^(5-0.5*Assumptions!$B$32)</f>
        <v>0.6951134484117191</v>
      </c>
      <c r="G14" s="21">
        <f>1/(1+Assumptions!$B$26)^(6-0.5*Assumptions!$B$32)</f>
        <v>0.6411460272288754</v>
      </c>
      <c r="H14" s="21">
        <f>1/(1+Assumptions!$B$26)^(7-0.5*Assumptions!$B$32)</f>
        <v>0.5913685444737535</v>
      </c>
      <c r="I14" s="21">
        <f>1/(1+Assumptions!$B$26)^(8-0.5*Assumptions!$B$32)</f>
        <v>0.5454557004814199</v>
      </c>
      <c r="J14" s="21">
        <f>1/(1+Assumptions!$B$26)^(9-0.5*Assumptions!$B$32)</f>
        <v>0.5031074512974562</v>
      </c>
      <c r="K14" s="21">
        <f>1/(1+Assumptions!$B$26)^(10-0.5*Assumptions!$B$32)</f>
        <v>0.4640470478677201</v>
      </c>
    </row>
    <row r="15" spans="1:11" x14ac:dyDescent="0.25">
      <c r="A15" s="19" t="s">
        <v>58</v>
      </c>
      <c r="B15" s="20">
        <f>B13*B14</f>
        <v>2414468935.6550884</v>
      </c>
      <c r="C15" s="20">
        <f>C13*C14</f>
        <v>2360853579.1476035</v>
      </c>
      <c r="D15" s="20">
        <f>D13*D14</f>
        <v>2291681209.8457327</v>
      </c>
      <c r="E15" s="20">
        <f>E13*E14</f>
        <v>2209685884.464366</v>
      </c>
      <c r="F15" s="20">
        <f>F13*F14</f>
        <v>2116285800.7773232</v>
      </c>
      <c r="G15" s="20">
        <f>G13*G14</f>
        <v>2013080711.3240695</v>
      </c>
      <c r="H15" s="20">
        <f>H13*H14</f>
        <v>1901805811.302299</v>
      </c>
      <c r="I15" s="20">
        <f>I13*I14</f>
        <v>1784282490.779845</v>
      </c>
      <c r="J15" s="20">
        <f>J13*J14</f>
        <v>1662367932.538848</v>
      </c>
      <c r="K15" s="20">
        <f>K13*K14</f>
        <v>1537905538.048983</v>
      </c>
    </row>
    <row r="17" spans="1:2" x14ac:dyDescent="0.25">
      <c r="A17" s="22" t="s">
        <v>59</v>
      </c>
      <c r="B17" s="23">
        <f>SUM(B15:K15)</f>
        <v>20292417893.88416</v>
      </c>
    </row>
    <row r="19" spans="1:11" x14ac:dyDescent="0.25">
      <c r="A19" t="s">
        <v>7</v>
      </c>
      <c r="B19" s="9">
        <f>Assumptions!$B$10+($B$20-Assumptions!$B$10)*0/9</f>
        <v>0.22661412567615824</v>
      </c>
      <c r="C19" s="9">
        <f>Assumptions!$B$10+($B$20-Assumptions!$B$10)*1/9</f>
        <v>0.235534671895346</v>
      </c>
      <c r="D19" s="9">
        <f>Assumptions!$B$10+($B$20-Assumptions!$B$10)*2/9</f>
        <v>0.24445521811453375</v>
      </c>
      <c r="E19" s="9">
        <f>Assumptions!$B$10+($B$20-Assumptions!$B$10)*3/9</f>
        <v>0.2533757643337215</v>
      </c>
      <c r="F19" s="9">
        <f>Assumptions!$B$10+($B$20-Assumptions!$B$10)*4/9</f>
        <v>0.26229631055290925</v>
      </c>
      <c r="G19" s="9">
        <f>Assumptions!$B$10+($B$20-Assumptions!$B$10)*5/9</f>
        <v>0.27121685677209706</v>
      </c>
      <c r="H19" s="9">
        <f>Assumptions!$B$10+($B$20-Assumptions!$B$10)*6/9</f>
        <v>0.2801374029912848</v>
      </c>
      <c r="I19" s="9">
        <f>Assumptions!$B$10+($B$20-Assumptions!$B$10)*7/9</f>
        <v>0.28905794921047256</v>
      </c>
      <c r="J19" s="9">
        <f>Assumptions!$B$10+($B$20-Assumptions!$B$10)*8/9</f>
        <v>0.2979784954296603</v>
      </c>
      <c r="K19" s="9">
        <f>Assumptions!$B$10+($B$20-Assumptions!$B$10)*9/9</f>
        <v>0.30689904164884807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0.30689904164884807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3314115551.678661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3959051956.632224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0.16359832525757384</v>
      </c>
    </row>
    <row r="7" spans="1:2" x14ac:dyDescent="0.25">
      <c r="A7" t="s">
        <v>66</v>
      </c>
      <c r="B7" s="18">
        <f>-MAX(B5,0)*B6</f>
        <v>-647694269.7127527</v>
      </c>
    </row>
    <row r="8" spans="1:2" x14ac:dyDescent="0.25">
      <c r="A8" t="s">
        <v>67</v>
      </c>
      <c r="B8" s="18">
        <f>IF(OR(Assumptions!$B$33=0,Assumptions!B12&lt;=0),B5,MAX(B5+B7,0))</f>
        <v>3311357686.9194713</v>
      </c>
    </row>
    <row r="9" spans="1:2" x14ac:dyDescent="0.25">
      <c r="A9" t="s">
        <v>68</v>
      </c>
      <c r="B9" s="18">
        <f>B8*(1+Assumptions!B12)/(Assumptions!B26-Assumptions!B12)</f>
        <v>57359276342.99776</v>
      </c>
    </row>
    <row r="10" spans="1:2" x14ac:dyDescent="0.25">
      <c r="A10" t="s">
        <v>69</v>
      </c>
      <c r="B10" s="18">
        <f>B9/(1+Assumptions!B26)^(10-0.5*Assumptions!B32)</f>
        <v>26617402854.796867</v>
      </c>
    </row>
    <row r="11" spans="1:2" x14ac:dyDescent="0.25">
      <c r="A11" t="s">
        <v>70</v>
      </c>
      <c r="B11" s="18">
        <f>Forecast!B17+B10</f>
        <v>46909820748.68103</v>
      </c>
    </row>
    <row r="12" spans="1:2" x14ac:dyDescent="0.25">
      <c r="A12" t="s">
        <v>71</v>
      </c>
      <c r="B12" s="18">
        <f>-Assumptions!B30</f>
        <v>-9935786000</v>
      </c>
    </row>
    <row r="13" spans="1:2" x14ac:dyDescent="0.25">
      <c r="A13" t="s">
        <v>72</v>
      </c>
      <c r="B13" s="18">
        <f>B11+B12</f>
        <v>36974034748.68103</v>
      </c>
    </row>
    <row r="14" spans="1:2" x14ac:dyDescent="0.25">
      <c r="A14" s="19" t="s">
        <v>73</v>
      </c>
      <c r="B14" s="24">
        <f>B13/Assumptions!B31</f>
        <v>210.19678428148077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5800239187.451375</v>
      </c>
    </row>
    <row r="18" spans="1:2" x14ac:dyDescent="0.25">
      <c r="A18" t="s">
        <v>68</v>
      </c>
      <c r="B18" s="18">
        <f>B17*Assumptions!B13</f>
        <v>116004783749.0275</v>
      </c>
    </row>
    <row r="19" spans="1:2" x14ac:dyDescent="0.25">
      <c r="A19" t="s">
        <v>69</v>
      </c>
      <c r="B19" s="18">
        <f>B18/(1+Assumptions!B26)^(10-0.5*Assumptions!B32)</f>
        <v>53831677437.269485</v>
      </c>
    </row>
    <row r="20" spans="1:2" x14ac:dyDescent="0.25">
      <c r="A20" t="s">
        <v>70</v>
      </c>
      <c r="B20" s="18">
        <f>Forecast!B17+B19</f>
        <v>74124095331.15364</v>
      </c>
    </row>
    <row r="21" spans="1:2" x14ac:dyDescent="0.25">
      <c r="A21" t="s">
        <v>71</v>
      </c>
      <c r="B21" s="18">
        <f>-Assumptions!B30</f>
        <v>-9935786000</v>
      </c>
    </row>
    <row r="22" spans="1:2" x14ac:dyDescent="0.25">
      <c r="A22" t="s">
        <v>72</v>
      </c>
      <c r="B22" s="18">
        <f>B20+B21</f>
        <v>64188309331.15364</v>
      </c>
    </row>
    <row r="23" spans="1:2" x14ac:dyDescent="0.25">
      <c r="A23" s="19" t="s">
        <v>73</v>
      </c>
      <c r="B23" s="25">
        <f>B22/Assumptions!B31</f>
        <v>364.90949125736853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324.77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210.19678428148077</v>
      </c>
    </row>
    <row r="29" spans="1:2" x14ac:dyDescent="0.25">
      <c r="A29" s="19" t="s">
        <v>81</v>
      </c>
      <c r="B29" s="11">
        <f>B28/B26-1</f>
        <v>-0.3527826329972572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0.064173</v>
      </c>
      <c r="B5" s="31">
        <v>305.78419191065956</v>
      </c>
      <c r="C5" s="31">
        <v>321.71588216424686</v>
      </c>
      <c r="D5" s="31">
        <v>342.1691090494622</v>
      </c>
      <c r="E5" s="31">
        <v>369.12856953392406</v>
      </c>
      <c r="F5" s="31">
        <v>405.9396001955877</v>
      </c>
    </row>
    <row r="6" spans="1:6" x14ac:dyDescent="0.25">
      <c r="A6" s="30">
        <v>0.074173</v>
      </c>
      <c r="B6" s="31">
        <v>244.48591647532615</v>
      </c>
      <c r="C6" s="31">
        <v>252.63811134355137</v>
      </c>
      <c r="D6" s="31">
        <v>262.7902154431272</v>
      </c>
      <c r="E6" s="31">
        <v>275.62134584715864</v>
      </c>
      <c r="F6" s="31">
        <v>292.1573467485037</v>
      </c>
    </row>
    <row r="7" spans="1:6" x14ac:dyDescent="0.25">
      <c r="A7" s="30">
        <v>0.084173</v>
      </c>
      <c r="B7" s="31">
        <v>200.95259987096648</v>
      </c>
      <c r="C7" s="31">
        <v>205.0914069349577</v>
      </c>
      <c r="D7" s="32">
        <v>210.1983980231221</v>
      </c>
      <c r="E7" s="31">
        <v>216.54165428958834</v>
      </c>
      <c r="F7" s="31">
        <v>224.4982928041818</v>
      </c>
    </row>
    <row r="8" spans="1:6" x14ac:dyDescent="0.25">
      <c r="A8" s="30">
        <v>0.094173</v>
      </c>
      <c r="B8" s="31">
        <v>168.45054738107459</v>
      </c>
      <c r="C8" s="31">
        <v>170.36769898712149</v>
      </c>
      <c r="D8" s="31">
        <v>172.77954266846487</v>
      </c>
      <c r="E8" s="31">
        <v>175.8017093155018</v>
      </c>
      <c r="F8" s="31">
        <v>179.58891213333254</v>
      </c>
    </row>
    <row r="9" spans="1:6" x14ac:dyDescent="0.25">
      <c r="A9" s="30">
        <v>0.104173</v>
      </c>
      <c r="B9" s="31">
        <v>143.26670969942782</v>
      </c>
      <c r="C9" s="31">
        <v>143.89702685169976</v>
      </c>
      <c r="D9" s="31">
        <v>144.78695715438118</v>
      </c>
      <c r="E9" s="31">
        <v>145.98900215461384</v>
      </c>
      <c r="F9" s="31">
        <v>147.5708431798415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4824113000</v>
      </c>
      <c r="C5" s="18">
        <v>4695616000</v>
      </c>
      <c r="D5" s="18">
        <v>4517690000</v>
      </c>
      <c r="E5" s="18">
        <v>4182163000</v>
      </c>
      <c r="F5" s="6" t="s">
        <v>91</v>
      </c>
    </row>
    <row r="6" spans="1:6" x14ac:dyDescent="0.25">
      <c r="A6" t="s">
        <v>51</v>
      </c>
      <c r="B6" s="18">
        <v>2260491000</v>
      </c>
      <c r="C6" s="18">
        <v>2201172000</v>
      </c>
      <c r="D6" s="18">
        <v>2319056000</v>
      </c>
      <c r="E6" s="18">
        <v>2169438000</v>
      </c>
      <c r="F6" s="6" t="s">
        <v>92</v>
      </c>
    </row>
    <row r="7" spans="1:6" x14ac:dyDescent="0.25">
      <c r="A7" t="s">
        <v>93</v>
      </c>
      <c r="B7" s="18">
        <v>1151840000</v>
      </c>
      <c r="C7" s="18">
        <v>1129766000</v>
      </c>
      <c r="D7" s="18">
        <v>970056000</v>
      </c>
      <c r="E7" s="18">
        <v>888146000</v>
      </c>
      <c r="F7" s="6" t="s">
        <v>94</v>
      </c>
    </row>
    <row r="8" spans="1:6" x14ac:dyDescent="0.25">
      <c r="A8" t="s">
        <v>95</v>
      </c>
      <c r="B8" s="18">
        <v>289378000</v>
      </c>
      <c r="C8" s="18">
        <v>420024000</v>
      </c>
      <c r="D8" s="18">
        <v>461137000</v>
      </c>
      <c r="E8" s="18">
        <v>459773000</v>
      </c>
      <c r="F8" s="6" t="s">
        <v>96</v>
      </c>
    </row>
    <row r="9" spans="1:6" x14ac:dyDescent="0.25">
      <c r="A9" t="s">
        <v>97</v>
      </c>
      <c r="B9" s="18">
        <v>-1801000</v>
      </c>
      <c r="C9" s="18">
        <v>29785000</v>
      </c>
      <c r="D9" s="18">
        <v>-18901000</v>
      </c>
      <c r="E9" s="18">
        <v>9051000</v>
      </c>
      <c r="F9" s="6" t="s">
        <v>98</v>
      </c>
    </row>
    <row r="10" spans="1:6" x14ac:dyDescent="0.25">
      <c r="A10" t="s">
        <v>99</v>
      </c>
      <c r="B10" s="18">
        <v>10253881000</v>
      </c>
      <c r="C10" s="18">
        <v>9353034000</v>
      </c>
      <c r="D10" s="18">
        <v>9103277000</v>
      </c>
      <c r="E10" s="18">
        <v>6870826000</v>
      </c>
      <c r="F10" s="6" t="s">
        <v>100</v>
      </c>
    </row>
    <row r="11" spans="1:6" x14ac:dyDescent="0.25">
      <c r="A11" t="s">
        <v>101</v>
      </c>
      <c r="B11" s="18">
        <v>318095000</v>
      </c>
      <c r="C11" s="18">
        <v>447416000</v>
      </c>
      <c r="D11" s="18">
        <v>370002000</v>
      </c>
      <c r="E11" s="18">
        <v>775253000</v>
      </c>
      <c r="F11" s="6" t="s">
        <v>102</v>
      </c>
    </row>
    <row r="12" spans="1:6" x14ac:dyDescent="0.25">
      <c r="A12" t="s">
        <v>34</v>
      </c>
      <c r="B12" s="34">
        <v>175902000</v>
      </c>
      <c r="C12" s="34">
        <v>176038000</v>
      </c>
      <c r="D12" s="34">
        <v>176143000</v>
      </c>
      <c r="E12" s="34">
        <v>176280000</v>
      </c>
      <c r="F12" s="6" t="s">
        <v>103</v>
      </c>
    </row>
    <row r="15" spans="1:1" x14ac:dyDescent="0.25">
      <c r="A15" s="19" t="s">
        <v>104</v>
      </c>
    </row>
    <row r="16" ht="70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