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<sst xmlns="http://schemas.openxmlformats.org/spreadsheetml/2006/main" count="112" uniqueCount="100">
  <si>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Public Storage (PSA)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</si>
  <si>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</si>
  <si>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</si>
  <si>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</si>
  <si>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</si>
  <si>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</si>
  <si>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</si>
  <si>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</si>
  <si>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</si>
  <si>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</si>
  <si>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</si>
  <si>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</si>
  <si>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</si>
  <si>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</si>
  <si>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</si>
  <si>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</si>
  <si>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</si>
  <si>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</si>
  <si>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</si>
  <si>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</si>
  <si>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</si>
  <si>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</si>
  <si>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</si>
  <si>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</si>
  <si>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</si>
  <si>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</si>
  <si>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</si>
  <si>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</si>
  <si>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</si>
  <si>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</si>
  <si>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</si>
  <si>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</si>
  <si>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</si>
  <si>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</si>
  <si>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</si>
  <si>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</si>
  <si>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</si>
  <si>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</si>
  <si>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</si>
  <si>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</si>
  <si>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</si>
  <si>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</si>
  <si>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</si>
  <si>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</si>
  <si>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</si>
  <si>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</si>
  <si>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</si>
  <si>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</si>
  <si>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</si>
  <si>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</si>
  <si>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</si>
  <si>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</si>
  <si>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</si>
  <si>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</si>
  <si>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</si>
  <si>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</si>
  <si>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</si>
  <si>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</si>
  <si>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</si>
  <si>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</si>
  <si>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</si>
  <si>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</si>
  <si>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</si>
  <si>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</si>
  <si>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</si>
  <si>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</si>
  <si>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</si>
  <si>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</si>
  <si>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</si>
  <si>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</si>
  <si>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</si>
  <si>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</si>
  <si>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</si>
  <si>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</si>
  <si>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</si>
  <si>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</si>
  <si>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</si>
  <si>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</si>
  <si>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</si>
  <si>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</si>
  <si>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</si>
  <si>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</si>
  <si>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</si>
  <si>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</si>
  <si>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</si>
  <si>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</si>
  <si>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</si>
  <si>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</si>
  <si>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</si>
  <si>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</si>
  <si>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</si>
  <si>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</si>
  <si>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</si>
  <si>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</si>
  <si>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</si>
  <si>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</si>
  <si>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</si>
  <si>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</si>
  <si>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9.04% of revenue against depreciation and amortisation of 22.66%. A business cannot depreciate more than it invests indefinitely. Capex has been set to 22.66%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</si>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</sst>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0.048750479098311095</v>
      </c>
    </row>
    <row r="7" spans="1:2" x14ac:dyDescent="0.25">
      <c r="A7" t="s">
        <v>5</v>
      </c>
      <c r="B7" s="6">
        <v>0.49235427895795714</v>
      </c>
    </row>
    <row r="8" spans="1:2" x14ac:dyDescent="0.25">
      <c r="A8" t="s">
        <v>6</v>
      </c>
      <c r="B8" s="6">
        <v>0.0032703282655344016</v>
      </c>
    </row>
    <row r="9" spans="1:2" x14ac:dyDescent="0.25">
      <c r="A9" t="s">
        <v>7</v>
      </c>
      <c r="B9" s="6">
        <v>0.22661412567615824</v>
      </c>
    </row>
    <row r="10" spans="1:2" x14ac:dyDescent="0.25">
      <c r="A10" t="s">
        <v>8</v>
      </c>
      <c r="B10" s="6">
        <v>0.22661412567615824</v>
      </c>
    </row>
    <row r="11" spans="1:2" x14ac:dyDescent="0.25">
      <c r="A11" t="s">
        <v>9</v>
      </c>
      <c r="B11" s="6">
        <v>-0.01401589142158961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19.13706124757534</v>
      </c>
    </row>
    <row r="14" spans="1:3" x14ac:dyDescent="0.25">
      <c r="A14" t="s">
        <v>12</v>
      </c>
      <c r="B14" s="6">
        <v>0.15281330026233028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0.95645</v>
      </c>
      <c r="C19" s="8" t="s">
        <v>19</v>
      </c>
    </row>
    <row r="20" spans="1:2" x14ac:dyDescent="0.25">
      <c r="A20" t="s">
        <v>20</v>
      </c>
      <c r="B20" s="10">
        <f>B17+B19*B18</f>
        <v>0.10258475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55366201344</v>
      </c>
    </row>
    <row r="23" spans="1:2" x14ac:dyDescent="0.25">
      <c r="A23" t="s">
        <v>24</v>
      </c>
      <c r="B23" s="11">
        <v>10253881000</v>
      </c>
    </row>
    <row r="24" spans="1:2" x14ac:dyDescent="0.25">
      <c r="A24" t="s">
        <v>25</v>
      </c>
      <c r="B24" s="10">
        <f>B22/(B22+B23)</f>
        <v>0.8437386752085115</v>
      </c>
    </row>
    <row r="25" spans="1:2" x14ac:dyDescent="0.25">
      <c r="A25" t="s">
        <v>26</v>
      </c>
      <c r="B25" s="10">
        <f>1-B24</f>
        <v>0.15626132479148847</v>
      </c>
    </row>
    <row r="26" spans="1:2" x14ac:dyDescent="0.25">
      <c r="A26" t="s">
        <v>27</v>
      </c>
      <c r="B26" s="12">
        <f>B24*B20+B25*B21*(1-B8)</f>
        <v>0.09433912100382771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4824113000</v>
      </c>
      <c r="C29" s="8" t="s">
        <v>30</v>
      </c>
    </row>
    <row r="30" spans="1:2" x14ac:dyDescent="0.25">
      <c r="A30" t="s">
        <v>31</v>
      </c>
      <c r="B30" s="11">
        <v>9935786000</v>
      </c>
    </row>
    <row r="31" spans="1:2" x14ac:dyDescent="0.25">
      <c r="A31" t="s">
        <v>32</v>
      </c>
      <c r="B31" s="13">
        <v>175902000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0.048750479098311095</v>
      </c>
      <c r="C5" s="10">
        <f>Assumptions!B6</f>
        <v>0.048750479098311095</v>
      </c>
      <c r="D5" s="10">
        <f>Assumptions!B6</f>
        <v>0.048750479098311095</v>
      </c>
      <c r="E5" s="10">
        <f>Assumptions!B6</f>
        <v>0.048750479098311095</v>
      </c>
      <c r="F5" s="10">
        <f>Assumptions!B6</f>
        <v>0.048750479098311095</v>
      </c>
    </row>
    <row r="6" spans="1:6" x14ac:dyDescent="0.25">
      <c r="A6" t="s">
        <v>43</v>
      </c>
      <c r="B6" s="18">
        <f>Assumptions!B29*(1+B5)</f>
        <v>5059290819.974391</v>
      </c>
      <c r="C6" s="18">
        <f>B6*(1+C5)</f>
        <v>5305933671.34583</v>
      </c>
      <c r="D6" s="18">
        <f>C6*(1+D5)</f>
        <v>5564600479.8878</v>
      </c>
      <c r="E6" s="18">
        <f>D6*(1+E5)</f>
        <v>5835877419.273023</v>
      </c>
      <c r="F6" s="18">
        <f>E6*(1+F5)</f>
        <v>6120379239.4215975</v>
      </c>
    </row>
    <row r="7" spans="1:6" x14ac:dyDescent="0.25">
      <c r="A7" t="s">
        <v>5</v>
      </c>
      <c r="B7" s="10">
        <f>Assumptions!B7</f>
        <v>0.49235427895795714</v>
      </c>
      <c r="C7" s="10">
        <f>Assumptions!B7</f>
        <v>0.49235427895795714</v>
      </c>
      <c r="D7" s="10">
        <f>Assumptions!B7</f>
        <v>0.49235427895795714</v>
      </c>
      <c r="E7" s="10">
        <f>Assumptions!B7</f>
        <v>0.49235427895795714</v>
      </c>
      <c r="F7" s="10">
        <f>Assumptions!B7</f>
        <v>0.49235427895795714</v>
      </c>
    </row>
    <row r="8" spans="1:6" x14ac:dyDescent="0.25">
      <c r="A8" t="s">
        <v>44</v>
      </c>
      <c r="B8" s="18">
        <f>B6*B7</f>
        <v>2490963483.707103</v>
      </c>
      <c r="C8" s="18">
        <f>C6*C7</f>
        <v>2612399146.954222</v>
      </c>
      <c r="D8" s="18">
        <f>D6*D7</f>
        <v>2739754856.96426</v>
      </c>
      <c r="E8" s="18">
        <f>E6*E7</f>
        <v>2873319218.853193</v>
      </c>
      <c r="F8" s="18">
        <f>F6*F7</f>
        <v>3013394907.3746705</v>
      </c>
    </row>
    <row r="9" spans="1:6" x14ac:dyDescent="0.25">
      <c r="A9" t="s">
        <v>45</v>
      </c>
      <c r="B9" s="18">
        <f>B8*(1-Assumptions!B8)</f>
        <v>2482817215.4179215</v>
      </c>
      <c r="C9" s="18">
        <f>C8*(1-Assumptions!B8)</f>
        <v>2603855744.1830797</v>
      </c>
      <c r="D9" s="18">
        <f>D8*(1-Assumptions!B8)</f>
        <v>2730794959.214895</v>
      </c>
      <c r="E9" s="18">
        <f>E8*(1-Assumptions!B8)</f>
        <v>2863922521.795874</v>
      </c>
      <c r="F9" s="18">
        <f>F8*(1-Assumptions!B8)</f>
        <v>3003540116.8338656</v>
      </c>
    </row>
    <row r="10" spans="1:6" x14ac:dyDescent="0.25">
      <c r="A10" t="s">
        <v>46</v>
      </c>
      <c r="B10" s="18">
        <f>B6*Assumptions!B9</f>
        <v>1146506765.7099104</v>
      </c>
      <c r="C10" s="18">
        <f>C6*Assumptions!B9</f>
        <v>1202399519.8277235</v>
      </c>
      <c r="D10" s="18">
        <f>D6*Assumptions!B9</f>
        <v>1261017072.4869044</v>
      </c>
      <c r="E10" s="18">
        <f>E6*Assumptions!B9</f>
        <v>1322492258.9217908</v>
      </c>
      <c r="F10" s="18">
        <f>F6*Assumptions!B9</f>
        <v>1386964390.1480358</v>
      </c>
    </row>
    <row r="11" spans="1:6" x14ac:dyDescent="0.25">
      <c r="A11" t="s">
        <v>47</v>
      </c>
      <c r="B11" s="18">
        <f>-B6*Assumptions!B10</f>
        <v>-1146506765.7099104</v>
      </c>
      <c r="C11" s="18">
        <f>-C6*Assumptions!B10</f>
        <v>-1202399519.8277235</v>
      </c>
      <c r="D11" s="18">
        <f>-D6*Assumptions!B10</f>
        <v>-1261017072.4869044</v>
      </c>
      <c r="E11" s="18">
        <f>-E6*Assumptions!B10</f>
        <v>-1322492258.9217908</v>
      </c>
      <c r="F11" s="18">
        <f>-F6*Assumptions!B10</f>
        <v>-1386964390.1480358</v>
      </c>
    </row>
    <row r="12" spans="1:6" x14ac:dyDescent="0.25">
      <c r="A12" t="s">
        <v>48</v>
      </c>
      <c r="B12" s="18">
        <f>-(B6-Assumptions!B29)*Assumptions!B11</f>
        <v>3296226.7895272123</v>
      </c>
      <c r="C12" s="18">
        <f>-(C6-B6)*Assumptions!B11</f>
        <v>3456919.424733353</v>
      </c>
      <c r="D12" s="18">
        <f>-(D6-C6)*Assumptions!B11</f>
        <v>3625445.9028933626</v>
      </c>
      <c r="E12" s="18">
        <f>-(E6-D6)*Assumptions!B11</f>
        <v>3802188.1276044236</v>
      </c>
      <c r="F12" s="18">
        <f>-(F6-E6)*Assumptions!B11</f>
        <v>3987546.62044704</v>
      </c>
    </row>
    <row r="13" spans="1:6" x14ac:dyDescent="0.25">
      <c r="A13" s="19" t="s">
        <v>49</v>
      </c>
      <c r="B13" s="20">
        <f>B9+B10+B11+B12</f>
        <v>2486113442.207449</v>
      </c>
      <c r="C13" s="20">
        <f>C9+C10+C11+C12</f>
        <v>2607312663.607813</v>
      </c>
      <c r="D13" s="20">
        <f>D9+D10+D11+D12</f>
        <v>2734420405.117789</v>
      </c>
      <c r="E13" s="20">
        <f>E9+E10+E11+E12</f>
        <v>2867724709.923478</v>
      </c>
      <c r="F13" s="20">
        <f>F9+F10+F11+F12</f>
        <v>3007527663.4543123</v>
      </c>
    </row>
    <row r="14" spans="1:6" x14ac:dyDescent="0.25">
      <c r="A14" t="s">
        <v>50</v>
      </c>
      <c r="B14" s="21">
        <f>1/(1+Assumptions!$B$26)^(1-0.5*Assumptions!$B$32)</f>
        <v>0.9559254794830395</v>
      </c>
      <c r="C14" s="21">
        <f>1/(1+Assumptions!$B$26)^(2-0.5*Assumptions!$B$32)</f>
        <v>0.8735185109769059</v>
      </c>
      <c r="D14" s="21">
        <f>1/(1+Assumptions!$B$26)^(3-0.5*Assumptions!$B$32)</f>
        <v>0.7982155569615704</v>
      </c>
      <c r="E14" s="21">
        <f>1/(1+Assumptions!$B$26)^(4-0.5*Assumptions!$B$32)</f>
        <v>0.7294042053704287</v>
      </c>
      <c r="F14" s="21">
        <f>1/(1+Assumptions!$B$26)^(5-0.5*Assumptions!$B$32)</f>
        <v>0.6665248380240236</v>
      </c>
    </row>
    <row r="15" spans="1:6" x14ac:dyDescent="0.25">
      <c r="A15" s="19" t="s">
        <v>51</v>
      </c>
      <c r="B15" s="20">
        <f>B13*B14</f>
        <v>2376539184.2913857</v>
      </c>
      <c r="C15" s="20">
        <f>C13*C14</f>
        <v>2277535875.565927</v>
      </c>
      <c r="D15" s="20">
        <f>D13*D14</f>
        <v>2182656906.638179</v>
      </c>
      <c r="E15" s="20">
        <f>E13*E14</f>
        <v>2091730463.2628777</v>
      </c>
      <c r="F15" s="20">
        <f>F13*F14</f>
        <v>2004591888.7366557</v>
      </c>
    </row>
    <row r="17" spans="1:2" x14ac:dyDescent="0.25">
      <c r="A17" s="22" t="s">
        <v>52</v>
      </c>
      <c r="B17" s="23">
        <f>SUM(B15:F15)</f>
        <v>10933054318.495026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3007527663.4543123</v>
      </c>
    </row>
    <row r="5" spans="1:2" x14ac:dyDescent="0.25">
      <c r="A5" t="s">
        <v>56</v>
      </c>
      <c r="B5" s="18">
        <f>IF(Assumptions!$B$33=0,B4,B4-Forecast!F11-Forecast!F10-Forecast!F12)</f>
        <v>3003540116.8338656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0.16359832525757384</v>
      </c>
    </row>
    <row r="7" spans="1:2" x14ac:dyDescent="0.25">
      <c r="A7" t="s">
        <v>58</v>
      </c>
      <c r="B7" s="18">
        <f>-MAX(Forecast!F9,0)*B6</f>
        <v>-491374132.9579581</v>
      </c>
    </row>
    <row r="8" spans="1:2" x14ac:dyDescent="0.25">
      <c r="A8" t="s">
        <v>59</v>
      </c>
      <c r="B8" s="18">
        <f>IF(OR(Assumptions!$B$33=0,Assumptions!B12&lt;=0),B5,MAX(B5+B7,0))</f>
        <v>2512165983.8759074</v>
      </c>
    </row>
    <row r="9" spans="1:2" x14ac:dyDescent="0.25">
      <c r="A9" t="s">
        <v>60</v>
      </c>
      <c r="B9" s="18">
        <f>B8*(1+Assumptions!B12)/(Assumptions!B26-Assumptions!B12)</f>
        <v>37135892353.331955</v>
      </c>
    </row>
    <row r="10" spans="1:2" x14ac:dyDescent="0.25">
      <c r="A10" t="s">
        <v>61</v>
      </c>
      <c r="B10" s="18">
        <f>B9/(1+Assumptions!B26)^(5-0.5*Assumptions!B32)</f>
        <v>24751994635.68216</v>
      </c>
    </row>
    <row r="11" spans="1:2" x14ac:dyDescent="0.25">
      <c r="A11" t="s">
        <v>62</v>
      </c>
      <c r="B11" s="18">
        <f>Forecast!B17+B10</f>
        <v>35685048954.177185</v>
      </c>
    </row>
    <row r="12" spans="1:2" x14ac:dyDescent="0.25">
      <c r="A12" t="s">
        <v>63</v>
      </c>
      <c r="B12" s="18">
        <f>-Assumptions!B30</f>
        <v>-9935786000</v>
      </c>
    </row>
    <row r="13" spans="1:2" x14ac:dyDescent="0.25">
      <c r="A13" t="s">
        <v>64</v>
      </c>
      <c r="B13" s="18">
        <f>B11+B12</f>
        <v>25749262954.177185</v>
      </c>
    </row>
    <row r="14" spans="1:2" x14ac:dyDescent="0.25">
      <c r="A14" s="19" t="s">
        <v>65</v>
      </c>
      <c r="B14" s="24">
        <f>B13/Assumptions!B31</f>
        <v>146.38413977201614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4400359297.522706</v>
      </c>
    </row>
    <row r="18" spans="1:2" x14ac:dyDescent="0.25">
      <c r="A18" t="s">
        <v>60</v>
      </c>
      <c r="B18" s="18">
        <f>B17*Assumptions!B13</f>
        <v>84209945388.02962</v>
      </c>
    </row>
    <row r="19" spans="1:2" x14ac:dyDescent="0.25">
      <c r="A19" t="s">
        <v>61</v>
      </c>
      <c r="B19" s="18">
        <f>B18/(1+Assumptions!B26)^(5-0.5*Assumptions!B32)</f>
        <v>56128020209.76832</v>
      </c>
    </row>
    <row r="20" spans="1:2" x14ac:dyDescent="0.25">
      <c r="A20" t="s">
        <v>62</v>
      </c>
      <c r="B20" s="18">
        <f>Forecast!B17+B19</f>
        <v>67061074528.26334</v>
      </c>
    </row>
    <row r="21" spans="1:2" x14ac:dyDescent="0.25">
      <c r="A21" t="s">
        <v>63</v>
      </c>
      <c r="B21" s="18">
        <f>-Assumptions!B30</f>
        <v>-9935786000</v>
      </c>
    </row>
    <row r="22" spans="1:2" x14ac:dyDescent="0.25">
      <c r="A22" t="s">
        <v>64</v>
      </c>
      <c r="B22" s="18">
        <f>B20+B21</f>
        <v>57125288528.26334</v>
      </c>
    </row>
    <row r="23" spans="1:2" x14ac:dyDescent="0.25">
      <c r="A23" s="19" t="s">
        <v>65</v>
      </c>
      <c r="B23" s="25">
        <f>B22/Assumptions!B31</f>
        <v>324.7563332325007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296.31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146.38413977201614</v>
      </c>
    </row>
    <row r="29" spans="1:2" x14ac:dyDescent="0.25">
      <c r="A29" s="19" t="s">
        <v>73</v>
      </c>
      <c r="B29" s="12">
        <f>B28/B26-1</f>
        <v>-0.5059763768620157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0.074339</v>
      </c>
      <c r="B5" s="31">
        <v>199.28057420691525</v>
      </c>
      <c r="C5" s="31">
        <v>210.26437273814264</v>
      </c>
      <c r="D5" s="31">
        <v>223.3923553009766</v>
      </c>
      <c r="E5" s="31">
        <v>239.3899049774467</v>
      </c>
      <c r="F5" s="31">
        <v>259.3511905747045</v>
      </c>
    </row>
    <row r="6" spans="1:6" x14ac:dyDescent="0.25">
      <c r="A6" s="30">
        <v>0.084339</v>
      </c>
      <c r="B6" s="31">
        <v>163.6488233568074</v>
      </c>
      <c r="C6" s="31">
        <v>170.49597202885693</v>
      </c>
      <c r="D6" s="31">
        <v>178.4316227086098</v>
      </c>
      <c r="E6" s="31">
        <v>187.75625074738946</v>
      </c>
      <c r="F6" s="31">
        <v>198.89213183755678</v>
      </c>
    </row>
    <row r="7" spans="1:6" x14ac:dyDescent="0.25">
      <c r="A7" s="30">
        <v>0.094339</v>
      </c>
      <c r="B7" s="31">
        <v>136.97666196546876</v>
      </c>
      <c r="C7" s="31">
        <v>141.38923108153293</v>
      </c>
      <c r="D7" s="32">
        <v>146.38447194730654</v>
      </c>
      <c r="E7" s="31">
        <v>152.09822870468886</v>
      </c>
      <c r="F7" s="31">
        <v>158.7121312829696</v>
      </c>
    </row>
    <row r="8" spans="1:6" x14ac:dyDescent="0.25">
      <c r="A8" s="30">
        <v>0.104339</v>
      </c>
      <c r="B8" s="31">
        <v>116.25663878373076</v>
      </c>
      <c r="C8" s="31">
        <v>119.15362515287471</v>
      </c>
      <c r="D8" s="31">
        <v>122.37069876598203</v>
      </c>
      <c r="E8" s="31">
        <v>125.97244629572052</v>
      </c>
      <c r="F8" s="31">
        <v>130.04208366313694</v>
      </c>
    </row>
    <row r="9" spans="1:6" x14ac:dyDescent="0.25">
      <c r="A9" s="30">
        <v>0.114339</v>
      </c>
      <c r="B9" s="31">
        <v>99.69221353257676</v>
      </c>
      <c r="C9" s="31">
        <v>101.60570632642262</v>
      </c>
      <c r="D9" s="31">
        <v>103.69496292426628</v>
      </c>
      <c r="E9" s="31">
        <v>105.99124356229707</v>
      </c>
      <c r="F9" s="31">
        <v>108.53368864564742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4824113000</v>
      </c>
      <c r="C5" s="18">
        <v>4695616000</v>
      </c>
      <c r="D5" s="18">
        <v>4517690000</v>
      </c>
      <c r="E5" s="18">
        <v>4182163000</v>
      </c>
      <c r="F5" s="8" t="s">
        <v>84</v>
      </c>
    </row>
    <row r="6" spans="1:6" x14ac:dyDescent="0.25">
      <c r="A6" t="s">
        <v>44</v>
      </c>
      <c r="B6" s="18">
        <v>2260491000</v>
      </c>
      <c r="C6" s="18">
        <v>2201172000</v>
      </c>
      <c r="D6" s="18">
        <v>2319056000</v>
      </c>
      <c r="E6" s="18">
        <v>2169438000</v>
      </c>
      <c r="F6" s="8" t="s">
        <v>85</v>
      </c>
    </row>
    <row r="7" spans="1:6" x14ac:dyDescent="0.25">
      <c r="A7" t="s">
        <v>86</v>
      </c>
      <c r="B7" s="18">
        <v>1151840000</v>
      </c>
      <c r="C7" s="18">
        <v>1129766000</v>
      </c>
      <c r="D7" s="18">
        <v>970056000</v>
      </c>
      <c r="E7" s="18">
        <v>888146000</v>
      </c>
      <c r="F7" s="8" t="s">
        <v>87</v>
      </c>
    </row>
    <row r="8" spans="1:6" x14ac:dyDescent="0.25">
      <c r="A8" t="s">
        <v>88</v>
      </c>
      <c r="B8" s="18">
        <v>289378000</v>
      </c>
      <c r="C8" s="18">
        <v>420024000</v>
      </c>
      <c r="D8" s="18">
        <v>461137000</v>
      </c>
      <c r="E8" s="18">
        <v>459773000</v>
      </c>
      <c r="F8" s="8" t="s">
        <v>89</v>
      </c>
    </row>
    <row r="9" spans="1:6" x14ac:dyDescent="0.25">
      <c r="A9" t="s">
        <v>90</v>
      </c>
      <c r="B9" s="18">
        <v>-1801000</v>
      </c>
      <c r="C9" s="18">
        <v>29785000</v>
      </c>
      <c r="D9" s="18">
        <v>-18901000</v>
      </c>
      <c r="E9" s="18">
        <v>9051000</v>
      </c>
      <c r="F9" s="8" t="s">
        <v>91</v>
      </c>
    </row>
    <row r="10" spans="1:6" x14ac:dyDescent="0.25">
      <c r="A10" t="s">
        <v>92</v>
      </c>
      <c r="B10" s="18">
        <v>10253881000</v>
      </c>
      <c r="C10" s="18">
        <v>9353034000</v>
      </c>
      <c r="D10" s="18">
        <v>9103277000</v>
      </c>
      <c r="E10" s="18">
        <v>6870826000</v>
      </c>
      <c r="F10" s="8" t="s">
        <v>93</v>
      </c>
    </row>
    <row r="11" spans="1:6" x14ac:dyDescent="0.25">
      <c r="A11" t="s">
        <v>94</v>
      </c>
      <c r="B11" s="18">
        <v>318095000</v>
      </c>
      <c r="C11" s="18">
        <v>447416000</v>
      </c>
      <c r="D11" s="18">
        <v>370002000</v>
      </c>
      <c r="E11" s="18">
        <v>775253000</v>
      </c>
      <c r="F11" s="8" t="s">
        <v>95</v>
      </c>
    </row>
    <row r="12" spans="1:6" x14ac:dyDescent="0.25">
      <c r="A12" t="s">
        <v>32</v>
      </c>
      <c r="B12" s="34">
        <v>175902000</v>
      </c>
      <c r="C12" s="34">
        <v>176038000</v>
      </c>
      <c r="D12" s="34">
        <v>176143000</v>
      </c>
      <c r="E12" s="34">
        <v>176280000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