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<sst xmlns="http://schemas.openxmlformats.org/spreadsheetml/2006/main" count="111" uniqueCount="99">
  <si>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Paramount Skydance Corporation (PSKY)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</si>
  <si>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</si>
  <si>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</si>
  <si>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</si>
  <si>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</si>
  <si>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</si>
  <si>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</si>
  <si>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</si>
  <si>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</si>
  <si>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</si>
  <si>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</si>
  <si>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</si>
  <si>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</si>
  <si>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</si>
  <si>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</si>
  <si>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</si>
  <si>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</si>
  <si>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</si>
  <si>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</si>
  <si>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</si>
  <si>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</si>
  <si>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</si>
  <si>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</si>
  <si>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</si>
  <si>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</si>
  <si>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</si>
  <si>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</si>
  <si>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</si>
  <si>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</si>
  <si>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</si>
  <si>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2024-12-31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</si>
  <si>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</si>
  <si>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</si>
  <si>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</si>
  <si>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</si>
  <si>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</si>
  <si>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</si>
  <si>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</si>
  <si>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FY25</t>
  </si>
  <si>
    <t>FY26</t>
  </si>
  <si>
    <t>FY27</t>
  </si>
  <si>
    <t>FY28</t>
  </si>
  <si>
    <t>FY29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</si>
  <si>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</si>
  <si>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</si>
  <si>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</si>
  <si>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</si>
  <si>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</si>
  <si>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</si>
  <si>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</si>
  <si>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</si>
  <si>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</si>
  <si>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</si>
  <si>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</si>
  <si>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</si>
  <si>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</si>
  <si>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</si>
  <si>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</si>
  <si>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</si>
  <si>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</si>
  <si>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</si>
  <si>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</si>
  <si>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</si>
  <si>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</si>
  <si>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</si>
  <si>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</si>
  <si>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</si>
  <si>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</si>
  <si>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</si>
  <si>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</si>
  <si>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</si>
  <si>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</si>
  <si>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</si>
  <si>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</si>
  <si>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</si>
  <si>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</si>
  <si>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</si>
  <si>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</si>
  <si>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</si>
  <si>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2024-12-31</t>
  </si>
  <si>
    <t>2023-12-31</t>
  </si>
  <si>
    <t>2022-12-31</t>
  </si>
  <si>
    <t>2021-12-31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</si>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</sst>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0.007258458559833203</v>
      </c>
    </row>
    <row r="7" spans="1:2" x14ac:dyDescent="0.25">
      <c r="A7" t="s">
        <v>5</v>
      </c>
      <c r="B7" s="6">
        <v>0.06987805552956022</v>
      </c>
    </row>
    <row r="8" spans="1:2" x14ac:dyDescent="0.25">
      <c r="A8" t="s">
        <v>6</v>
      </c>
      <c r="B8" s="6">
        <v>0.15169624427762596</v>
      </c>
    </row>
    <row r="9" spans="1:2" x14ac:dyDescent="0.25">
      <c r="A9" t="s">
        <v>7</v>
      </c>
      <c r="B9" s="6">
        <v>0.013423558178193153</v>
      </c>
    </row>
    <row r="10" spans="1:2" x14ac:dyDescent="0.25">
      <c r="A10" t="s">
        <v>8</v>
      </c>
      <c r="B10" s="6">
        <v>0.011080140595857324</v>
      </c>
    </row>
    <row r="11" spans="1:2" x14ac:dyDescent="0.25">
      <c r="A11" t="s">
        <v>9</v>
      </c>
      <c r="B11" s="6">
        <v>-1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12.171533056</v>
      </c>
    </row>
    <row r="14" spans="1:3" x14ac:dyDescent="0.25">
      <c r="A14" t="s">
        <v>12</v>
      </c>
      <c r="B14" s="6">
        <v>0.07941094482220216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1.3483999999999998</v>
      </c>
      <c r="C19" s="8" t="s">
        <v>19</v>
      </c>
    </row>
    <row r="20" spans="1:2" x14ac:dyDescent="0.25">
      <c r="A20" t="s">
        <v>20</v>
      </c>
      <c r="B20" s="10">
        <f>B17+B19*B18</f>
        <v>0.124142</v>
      </c>
    </row>
    <row r="21" spans="1:3" x14ac:dyDescent="0.25">
      <c r="A21" t="s">
        <v>21</v>
      </c>
      <c r="B21" s="6">
        <v>0.054764861336644696</v>
      </c>
      <c r="C21" s="8" t="s">
        <v>22</v>
      </c>
    </row>
    <row r="22" spans="1:2" x14ac:dyDescent="0.25">
      <c r="A22" t="s">
        <v>23</v>
      </c>
      <c r="B22" s="11">
        <v>11455066112</v>
      </c>
    </row>
    <row r="23" spans="1:2" x14ac:dyDescent="0.25">
      <c r="A23" t="s">
        <v>24</v>
      </c>
      <c r="B23" s="11">
        <v>15549000000</v>
      </c>
    </row>
    <row r="24" spans="1:2" x14ac:dyDescent="0.25">
      <c r="A24" t="s">
        <v>25</v>
      </c>
      <c r="B24" s="10">
        <f>B22/(B22+B23)</f>
        <v>0.42419782504197123</v>
      </c>
    </row>
    <row r="25" spans="1:2" x14ac:dyDescent="0.25">
      <c r="A25" t="s">
        <v>26</v>
      </c>
      <c r="B25" s="10">
        <f>1-B24</f>
        <v>0.5758021749580288</v>
      </c>
    </row>
    <row r="26" spans="1:2" x14ac:dyDescent="0.25">
      <c r="A26" t="s">
        <v>27</v>
      </c>
      <c r="B26" s="12">
        <f>B24*B20+B25*B21*(1-B8)</f>
        <v>0.07941094482220216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29213000000</v>
      </c>
      <c r="C29" s="8" t="s">
        <v>30</v>
      </c>
    </row>
    <row r="30" spans="1:2" x14ac:dyDescent="0.25">
      <c r="A30" t="s">
        <v>31</v>
      </c>
      <c r="B30" s="11">
        <v>12888000000</v>
      </c>
    </row>
    <row r="31" spans="1:2" x14ac:dyDescent="0.25">
      <c r="A31" t="s">
        <v>32</v>
      </c>
      <c r="B31" s="13">
        <v>664000000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0.007258458559833203</v>
      </c>
      <c r="C5" s="10">
        <f>Assumptions!B6</f>
        <v>0.007258458559833203</v>
      </c>
      <c r="D5" s="10">
        <f>Assumptions!B6</f>
        <v>0.007258458559833203</v>
      </c>
      <c r="E5" s="10">
        <f>Assumptions!B6</f>
        <v>0.007258458559833203</v>
      </c>
      <c r="F5" s="10">
        <f>Assumptions!B6</f>
        <v>0.007258458559833203</v>
      </c>
    </row>
    <row r="6" spans="1:6" x14ac:dyDescent="0.25">
      <c r="A6" t="s">
        <v>43</v>
      </c>
      <c r="B6" s="18">
        <f>Assumptions!B29*(1+B5)</f>
        <v>29425041349.90841</v>
      </c>
      <c r="C6" s="18">
        <f>B6*(1+C5)</f>
        <v>29638621793.1681</v>
      </c>
      <c r="D6" s="18">
        <f>C6*(1+D5)</f>
        <v>29853752501.224377</v>
      </c>
      <c r="E6" s="18">
        <f>D6*(1+E5)</f>
        <v>30070444726.61003</v>
      </c>
      <c r="F6" s="18">
        <f>E6*(1+F5)</f>
        <v>30288709803.533886</v>
      </c>
    </row>
    <row r="7" spans="1:6" x14ac:dyDescent="0.25">
      <c r="A7" t="s">
        <v>5</v>
      </c>
      <c r="B7" s="10">
        <f>Assumptions!B7</f>
        <v>0.06987805552956022</v>
      </c>
      <c r="C7" s="10">
        <f>Assumptions!B7</f>
        <v>0.06987805552956022</v>
      </c>
      <c r="D7" s="10">
        <f>Assumptions!B7</f>
        <v>0.06987805552956022</v>
      </c>
      <c r="E7" s="10">
        <f>Assumptions!B7</f>
        <v>0.06987805552956022</v>
      </c>
      <c r="F7" s="10">
        <f>Assumptions!B7</f>
        <v>0.06987805552956022</v>
      </c>
    </row>
    <row r="8" spans="1:6" x14ac:dyDescent="0.25">
      <c r="A8" t="s">
        <v>44</v>
      </c>
      <c r="B8" s="18">
        <f>B6*B7</f>
        <v>2056164673.4085054</v>
      </c>
      <c r="C8" s="18">
        <f>C6*C7</f>
        <v>2071089259.4826343</v>
      </c>
      <c r="D8" s="18">
        <f>D6*D7</f>
        <v>2086122175.0463045</v>
      </c>
      <c r="E8" s="18">
        <f>E6*E7</f>
        <v>2101264206.404627</v>
      </c>
      <c r="F8" s="18">
        <f>F6*F7</f>
        <v>2116516145.570076</v>
      </c>
    </row>
    <row r="9" spans="1:6" x14ac:dyDescent="0.25">
      <c r="A9" t="s">
        <v>45</v>
      </c>
      <c r="B9" s="18">
        <f>B8*(1-Assumptions!B8)</f>
        <v>1744252214.836104</v>
      </c>
      <c r="C9" s="18">
        <f>C8*(1-Assumptions!B8)</f>
        <v>1756912797.2553892</v>
      </c>
      <c r="D9" s="18">
        <f>D8*(1-Assumptions!B8)</f>
        <v>1769665275.9875078</v>
      </c>
      <c r="E9" s="18">
        <f>E8*(1-Assumptions!B8)</f>
        <v>1782510318.058039</v>
      </c>
      <c r="F9" s="18">
        <f>F8*(1-Assumptions!B8)</f>
        <v>1795448595.3341384</v>
      </c>
    </row>
    <row r="10" spans="1:6" x14ac:dyDescent="0.25">
      <c r="A10" t="s">
        <v>46</v>
      </c>
      <c r="B10" s="18">
        <f>B6*Assumptions!B9</f>
        <v>394988754.45623475</v>
      </c>
      <c r="C10" s="18">
        <f>C6*Assumptions!B9</f>
        <v>397855763.96205544</v>
      </c>
      <c r="D10" s="18">
        <f>D6*Assumptions!B9</f>
        <v>400743583.5375648</v>
      </c>
      <c r="E10" s="18">
        <f>E6*Assumptions!B9</f>
        <v>403652364.23179126</v>
      </c>
      <c r="F10" s="18">
        <f>F6*Assumptions!B9</f>
        <v>406582258.19014645</v>
      </c>
    </row>
    <row r="11" spans="1:6" x14ac:dyDescent="0.25">
      <c r="A11" t="s">
        <v>47</v>
      </c>
      <c r="B11" s="18">
        <f>-B6*Assumptions!B10</f>
        <v>-326033595.19590056</v>
      </c>
      <c r="C11" s="18">
        <f>-C6*Assumptions!B10</f>
        <v>-328400096.5357434</v>
      </c>
      <c r="D11" s="18">
        <f>-D6*Assumptions!B10</f>
        <v>-330783775.02749336</v>
      </c>
      <c r="E11" s="18">
        <f>-E6*Assumptions!B10</f>
        <v>-333184755.3507956</v>
      </c>
      <c r="F11" s="18">
        <f>-F6*Assumptions!B10</f>
        <v>-335603163.09027755</v>
      </c>
    </row>
    <row r="12" spans="1:6" x14ac:dyDescent="0.25">
      <c r="A12" t="s">
        <v>48</v>
      </c>
      <c r="B12" s="18">
        <f>-(B6-Assumptions!B29)*Assumptions!B11</f>
        <v>212041349.90840912</v>
      </c>
      <c r="C12" s="18">
        <f>-(C6-B6)*Assumptions!B11</f>
        <v>213580443.25968933</v>
      </c>
      <c r="D12" s="18">
        <f>-(D6-C6)*Assumptions!B11</f>
        <v>215130708.05627823</v>
      </c>
      <c r="E12" s="18">
        <f>-(E6-D6)*Assumptions!B11</f>
        <v>216692225.38565445</v>
      </c>
      <c r="F12" s="18">
        <f>-(F6-E6)*Assumptions!B11</f>
        <v>218265076.92385483</v>
      </c>
    </row>
    <row r="13" spans="1:6" x14ac:dyDescent="0.25">
      <c r="A13" s="19" t="s">
        <v>49</v>
      </c>
      <c r="B13" s="20">
        <f>B9+B10+B11+B12</f>
        <v>2025248724.004847</v>
      </c>
      <c r="C13" s="20">
        <f>C9+C10+C11+C12</f>
        <v>2039948907.9413903</v>
      </c>
      <c r="D13" s="20">
        <f>D9+D10+D11+D12</f>
        <v>2054755792.5538573</v>
      </c>
      <c r="E13" s="20">
        <f>E9+E10+E11+E12</f>
        <v>2069670152.324689</v>
      </c>
      <c r="F13" s="20">
        <f>F9+F10+F11+F12</f>
        <v>2084692767.357862</v>
      </c>
    </row>
    <row r="14" spans="1:6" x14ac:dyDescent="0.25">
      <c r="A14" t="s">
        <v>50</v>
      </c>
      <c r="B14" s="21">
        <f>1/(1+Assumptions!$B$26)^(1-0.5*Assumptions!$B$32)</f>
        <v>0.9625129720664265</v>
      </c>
      <c r="C14" s="21">
        <f>1/(1+Assumptions!$B$26)^(2-0.5*Assumptions!$B$32)</f>
        <v>0.8917020683211332</v>
      </c>
      <c r="D14" s="21">
        <f>1/(1+Assumptions!$B$26)^(3-0.5*Assumptions!$B$32)</f>
        <v>0.8261006362762164</v>
      </c>
      <c r="E14" s="21">
        <f>1/(1+Assumptions!$B$26)^(4-0.5*Assumptions!$B$32)</f>
        <v>0.765325421461508</v>
      </c>
      <c r="F14" s="21">
        <f>1/(1+Assumptions!$B$26)^(5-0.5*Assumptions!$B$32)</f>
        <v>0.7090213649701045</v>
      </c>
    </row>
    <row r="15" spans="1:6" x14ac:dyDescent="0.25">
      <c r="A15" s="19" t="s">
        <v>51</v>
      </c>
      <c r="B15" s="20">
        <f>B13*B14</f>
        <v>1949328168.5156434</v>
      </c>
      <c r="C15" s="20">
        <f>C13*C14</f>
        <v>1819026660.4807746</v>
      </c>
      <c r="D15" s="20">
        <f>D13*D14</f>
        <v>1697435067.620983</v>
      </c>
      <c r="E15" s="20">
        <f>E13*E14</f>
        <v>1583971181.6141958</v>
      </c>
      <c r="F15" s="20">
        <f>F13*F14</f>
        <v>1478091711.4553757</v>
      </c>
    </row>
    <row r="17" spans="1:2" x14ac:dyDescent="0.25">
      <c r="A17" s="22" t="s">
        <v>52</v>
      </c>
      <c r="B17" s="23">
        <f>SUM(B15:F15)</f>
        <v>8527852789.686973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2084692767.357862</v>
      </c>
    </row>
    <row r="5" spans="1:2" x14ac:dyDescent="0.25">
      <c r="A5" t="s">
        <v>56</v>
      </c>
      <c r="B5" s="18">
        <f>IF(Assumptions!$B$33=0,B4,B4-Forecast!F11-Forecast!F10-Forecast!F12)</f>
        <v>1795448595.3341384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0.3148180651417002</v>
      </c>
    </row>
    <row r="7" spans="1:2" x14ac:dyDescent="0.25">
      <c r="A7" t="s">
        <v>58</v>
      </c>
      <c r="B7" s="18">
        <f>-MAX(Forecast!F9,0)*B6</f>
        <v>-565239652.8444769</v>
      </c>
    </row>
    <row r="8" spans="1:2" x14ac:dyDescent="0.25">
      <c r="A8" t="s">
        <v>59</v>
      </c>
      <c r="B8" s="18">
        <f>IF(OR(Assumptions!$B$33=0,Assumptions!B12&lt;=0),B5,MAX(B5+B7,0))</f>
        <v>1230208942.4896615</v>
      </c>
    </row>
    <row r="9" spans="1:2" x14ac:dyDescent="0.25">
      <c r="A9" t="s">
        <v>60</v>
      </c>
      <c r="B9" s="18">
        <f>B8*(1+Assumptions!B12)/(Assumptions!B26-Assumptions!B12)</f>
        <v>23174825766.623547</v>
      </c>
    </row>
    <row r="10" spans="1:2" x14ac:dyDescent="0.25">
      <c r="A10" t="s">
        <v>61</v>
      </c>
      <c r="B10" s="18">
        <f>B9/(1+Assumptions!B26)^(5-0.5*Assumptions!B32)</f>
        <v>16431446597.995775</v>
      </c>
    </row>
    <row r="11" spans="1:2" x14ac:dyDescent="0.25">
      <c r="A11" t="s">
        <v>62</v>
      </c>
      <c r="B11" s="18">
        <f>Forecast!B17+B10</f>
        <v>24959299387.682747</v>
      </c>
    </row>
    <row r="12" spans="1:2" x14ac:dyDescent="0.25">
      <c r="A12" t="s">
        <v>63</v>
      </c>
      <c r="B12" s="18">
        <f>-Assumptions!B30</f>
        <v>-12888000000</v>
      </c>
    </row>
    <row r="13" spans="1:2" x14ac:dyDescent="0.25">
      <c r="A13" t="s">
        <v>64</v>
      </c>
      <c r="B13" s="18">
        <f>B11+B12</f>
        <v>12071299387.682747</v>
      </c>
    </row>
    <row r="14" spans="1:2" x14ac:dyDescent="0.25">
      <c r="A14" s="19" t="s">
        <v>65</v>
      </c>
      <c r="B14" s="24">
        <f>B13/Assumptions!B31</f>
        <v>18.179667752534257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2523098403.7602224</v>
      </c>
    </row>
    <row r="18" spans="1:2" x14ac:dyDescent="0.25">
      <c r="A18" t="s">
        <v>60</v>
      </c>
      <c r="B18" s="18">
        <f>B17*Assumptions!B13</f>
        <v>30709975624.908382</v>
      </c>
    </row>
    <row r="19" spans="1:2" x14ac:dyDescent="0.25">
      <c r="A19" t="s">
        <v>61</v>
      </c>
      <c r="B19" s="18">
        <f>B18/(1+Assumptions!B26)^(5-0.5*Assumptions!B32)</f>
        <v>21774028835.77118</v>
      </c>
    </row>
    <row r="20" spans="1:2" x14ac:dyDescent="0.25">
      <c r="A20" t="s">
        <v>62</v>
      </c>
      <c r="B20" s="18">
        <f>Forecast!B17+B19</f>
        <v>30301881625.458153</v>
      </c>
    </row>
    <row r="21" spans="1:2" x14ac:dyDescent="0.25">
      <c r="A21" t="s">
        <v>63</v>
      </c>
      <c r="B21" s="18">
        <f>-Assumptions!B30</f>
        <v>-12888000000</v>
      </c>
    </row>
    <row r="22" spans="1:2" x14ac:dyDescent="0.25">
      <c r="A22" t="s">
        <v>64</v>
      </c>
      <c r="B22" s="18">
        <f>B20+B21</f>
        <v>17413881625.458153</v>
      </c>
    </row>
    <row r="23" spans="1:2" x14ac:dyDescent="0.25">
      <c r="A23" s="19" t="s">
        <v>65</v>
      </c>
      <c r="B23" s="25">
        <f>B22/Assumptions!B31</f>
        <v>26.22572533954541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10.21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18.179667752534257</v>
      </c>
    </row>
    <row r="29" spans="1:2" x14ac:dyDescent="0.25">
      <c r="A29" s="19" t="s">
        <v>73</v>
      </c>
      <c r="B29" s="12">
        <f>B28/B26-1</f>
        <v>0.7805747064186344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0.059411</v>
      </c>
      <c r="B5" s="31">
        <v>29.64807347319302</v>
      </c>
      <c r="C5" s="31">
        <v>29.823589947846436</v>
      </c>
      <c r="D5" s="31">
        <v>29.999106422499853</v>
      </c>
      <c r="E5" s="31">
        <v>30.174622897153256</v>
      </c>
      <c r="F5" s="31">
        <v>30.350139371806673</v>
      </c>
    </row>
    <row r="6" spans="1:6" x14ac:dyDescent="0.25">
      <c r="A6" s="30">
        <v>0.069411</v>
      </c>
      <c r="B6" s="31">
        <v>22.954341374977734</v>
      </c>
      <c r="C6" s="31">
        <v>23.098352382212397</v>
      </c>
      <c r="D6" s="31">
        <v>23.242363389447075</v>
      </c>
      <c r="E6" s="31">
        <v>23.386374396681752</v>
      </c>
      <c r="F6" s="31">
        <v>23.530385403916416</v>
      </c>
    </row>
    <row r="7" spans="1:6" x14ac:dyDescent="0.25">
      <c r="A7" s="30">
        <v>0.079411</v>
      </c>
      <c r="B7" s="31">
        <v>17.938217640462348</v>
      </c>
      <c r="C7" s="31">
        <v>18.05893047767237</v>
      </c>
      <c r="D7" s="32">
        <v>18.17964331488238</v>
      </c>
      <c r="E7" s="31">
        <v>18.300356152092405</v>
      </c>
      <c r="F7" s="31">
        <v>18.421068989302423</v>
      </c>
    </row>
    <row r="8" spans="1:6" x14ac:dyDescent="0.25">
      <c r="A8" s="30">
        <v>0.089411</v>
      </c>
      <c r="B8" s="31">
        <v>14.037218451567846</v>
      </c>
      <c r="C8" s="31">
        <v>14.14007241834046</v>
      </c>
      <c r="D8" s="31">
        <v>14.24292638511306</v>
      </c>
      <c r="E8" s="31">
        <v>14.345780351885669</v>
      </c>
      <c r="F8" s="31">
        <v>14.448634318658277</v>
      </c>
    </row>
    <row r="9" spans="1:6" x14ac:dyDescent="0.25">
      <c r="A9" s="30">
        <v>0.099411</v>
      </c>
      <c r="B9" s="31">
        <v>10.915162407909612</v>
      </c>
      <c r="C9" s="31">
        <v>11.003943423222237</v>
      </c>
      <c r="D9" s="31">
        <v>11.092724438534857</v>
      </c>
      <c r="E9" s="31">
        <v>11.181505453847489</v>
      </c>
      <c r="F9" s="31">
        <v>11.270286469160109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29213000000</v>
      </c>
      <c r="C5" s="18">
        <v>29652000000</v>
      </c>
      <c r="D5" s="18">
        <v>30154000000</v>
      </c>
      <c r="E5" s="18">
        <v>28586000000</v>
      </c>
      <c r="F5" s="8" t="s">
        <v>84</v>
      </c>
    </row>
    <row r="6" spans="1:6" x14ac:dyDescent="0.25">
      <c r="A6" t="s">
        <v>44</v>
      </c>
      <c r="B6" s="18">
        <v>1608000000</v>
      </c>
      <c r="C6" s="18">
        <v>-399000000</v>
      </c>
      <c r="D6" s="18">
        <v>2898000000</v>
      </c>
      <c r="E6" s="18">
        <v>4054000000</v>
      </c>
      <c r="F6" s="8" t="s">
        <v>85</v>
      </c>
    </row>
    <row r="7" spans="1:6" x14ac:dyDescent="0.25">
      <c r="A7" t="s">
        <v>86</v>
      </c>
      <c r="B7" s="18">
        <v>392000000</v>
      </c>
      <c r="C7" s="18">
        <v>418000000</v>
      </c>
      <c r="D7" s="18">
        <v>378000000</v>
      </c>
      <c r="E7" s="18">
        <v>390000000</v>
      </c>
      <c r="F7" s="8" t="s">
        <v>87</v>
      </c>
    </row>
    <row r="8" spans="1:6" x14ac:dyDescent="0.25">
      <c r="A8" t="s">
        <v>88</v>
      </c>
      <c r="B8" s="18">
        <v>263000000</v>
      </c>
      <c r="C8" s="18">
        <v>328000000</v>
      </c>
      <c r="D8" s="18">
        <v>358000000</v>
      </c>
      <c r="E8" s="18">
        <v>354000000</v>
      </c>
      <c r="F8" s="8" t="s">
        <v>89</v>
      </c>
    </row>
    <row r="9" spans="1:6" x14ac:dyDescent="0.25">
      <c r="A9" t="s">
        <v>90</v>
      </c>
      <c r="B9" s="18">
        <v>14549000000</v>
      </c>
      <c r="C9" s="18">
        <v>15642000000</v>
      </c>
      <c r="D9" s="18">
        <v>16679000000</v>
      </c>
      <c r="E9" s="18">
        <v>15789000000</v>
      </c>
      <c r="F9" s="8" t="s">
        <v>91</v>
      </c>
    </row>
    <row r="10" spans="1:6" x14ac:dyDescent="0.25">
      <c r="A10" t="s">
        <v>92</v>
      </c>
      <c r="B10" s="18">
        <v>15549000000</v>
      </c>
      <c r="C10" s="18">
        <v>15858000000</v>
      </c>
      <c r="D10" s="18">
        <v>17274000000</v>
      </c>
      <c r="E10" s="18">
        <v>0</v>
      </c>
      <c r="F10" s="8" t="s">
        <v>93</v>
      </c>
    </row>
    <row r="11" spans="1:6" x14ac:dyDescent="0.25">
      <c r="A11" t="s">
        <v>94</v>
      </c>
      <c r="B11" s="18">
        <v>2661000000</v>
      </c>
      <c r="C11" s="18">
        <v>2460000000</v>
      </c>
      <c r="D11" s="18">
        <v>2885000000</v>
      </c>
      <c r="E11" s="18">
        <v>0</v>
      </c>
      <c r="F11" s="8" t="s">
        <v>95</v>
      </c>
    </row>
    <row r="12" spans="1:6" x14ac:dyDescent="0.25">
      <c r="A12" t="s">
        <v>32</v>
      </c>
      <c r="B12" s="34">
        <v>664000000</v>
      </c>
      <c r="C12" s="34">
        <v>652000000</v>
      </c>
      <c r="D12" s="34">
        <v>650000000</v>
      </c>
      <c r="E12" s="34">
        <v>655000000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2026-09-19T01:04:48Z</dcterms:modified>
</cp:coreProperties>
</file>