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<sst xmlns="http://schemas.openxmlformats.org/spreadsheetml/2006/main" count="113" uniqueCount="101">
  <si>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Persimmon Plc (PSN.L)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</si>
  <si>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</si>
  <si>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</si>
  <si>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</si>
  <si>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</si>
  <si>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</si>
  <si>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</si>
  <si>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</si>
  <si>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</si>
  <si>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</si>
  <si>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</si>
  <si>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</si>
  <si>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</si>
  <si>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</si>
  <si>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</si>
  <si>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</si>
  <si>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</si>
  <si>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</si>
  <si>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</si>
  <si>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</si>
  <si>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</si>
  <si>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</si>
  <si>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</si>
  <si>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</si>
  <si>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</si>
  <si>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</si>
  <si>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</si>
  <si>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</si>
  <si>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</si>
  <si>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</si>
  <si>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</si>
  <si>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</si>
  <si>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</si>
  <si>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</si>
  <si>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</si>
  <si>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</si>
  <si>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</si>
  <si>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</si>
  <si>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</si>
  <si>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</si>
  <si>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</si>
  <si>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</si>
  <si>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</si>
  <si>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</si>
  <si>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</si>
  <si>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</si>
  <si>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</si>
  <si>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</si>
  <si>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</si>
  <si>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</si>
  <si>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</si>
  <si>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</si>
  <si>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</si>
  <si>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</si>
  <si>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</si>
  <si>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</si>
  <si>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</si>
  <si>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</si>
  <si>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</si>
  <si>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</si>
  <si>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</si>
  <si>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</si>
  <si>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</si>
  <si>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</si>
  <si>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</si>
  <si>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</si>
  <si>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</si>
  <si>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</si>
  <si>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</si>
  <si>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</si>
  <si>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</si>
  <si>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</si>
  <si>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</si>
  <si>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</si>
  <si>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</si>
  <si>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</si>
  <si>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</si>
  <si>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</si>
  <si>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</si>
  <si>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</si>
  <si>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</si>
  <si>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</si>
  <si>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</si>
  <si>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</si>
  <si>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</si>
  <si>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</si>
  <si>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</si>
  <si>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</si>
  <si>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</si>
  <si>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</si>
  <si>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</si>
  <si>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</si>
  <si>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</si>
  <si>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derived</t>
  </si>
  <si>
    <t>Cash and equivalents</t>
  </si>
  <si>
    <t>cashCashEquivalentsAndShortTermInvestments</t>
  </si>
  <si>
    <t>dilutedAverageShares</t>
  </si>
  <si>
    <t>Model notes</t>
  </si>
  <si>
    <t>Adjusted: Capital expenditure runs at 1.1% of revenue against depreciation of 0.6%.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</si>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</sst>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-0.0056665159690078015</v>
      </c>
    </row>
    <row r="7" spans="1:2" x14ac:dyDescent="0.25">
      <c r="A7" t="s">
        <v>5</v>
      </c>
      <c r="B7" s="6">
        <v>0.1370597927410964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0.005703760337400871</v>
      </c>
    </row>
    <row r="10" spans="1:2" x14ac:dyDescent="0.25">
      <c r="A10" t="s">
        <v>8</v>
      </c>
      <c r="B10" s="6">
        <v>0.010508292409082406</v>
      </c>
    </row>
    <row r="11" spans="1:2" x14ac:dyDescent="0.25">
      <c r="A11" t="s">
        <v>9</v>
      </c>
      <c r="B11" s="6">
        <v>0.544327485380117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8.252565475916109</v>
      </c>
    </row>
    <row r="14" spans="1:3" x14ac:dyDescent="0.25">
      <c r="A14" t="s">
        <v>12</v>
      </c>
      <c r="B14" s="6">
        <v>0.1148874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1.27068</v>
      </c>
      <c r="C19" s="8" t="s">
        <v>19</v>
      </c>
    </row>
    <row r="20" spans="1:2" x14ac:dyDescent="0.25">
      <c r="A20" t="s">
        <v>20</v>
      </c>
      <c r="B20" s="10">
        <f>B17+B19*B18</f>
        <v>0.1148874</v>
      </c>
    </row>
    <row r="21" spans="1:3" x14ac:dyDescent="0.25">
      <c r="A21" t="s">
        <v>21</v>
      </c>
      <c r="B21" s="6">
        <v>0.065</v>
      </c>
      <c r="C21" s="8" t="s">
        <v>22</v>
      </c>
    </row>
    <row r="22" spans="1:2" x14ac:dyDescent="0.25">
      <c r="A22" t="s">
        <v>23</v>
      </c>
      <c r="B22" s="11">
        <v>3697788160</v>
      </c>
    </row>
    <row r="23" spans="1:2" x14ac:dyDescent="0.25">
      <c r="A23" t="s">
        <v>24</v>
      </c>
      <c r="B23" s="11">
        <v>0</v>
      </c>
    </row>
    <row r="24" spans="1:2" x14ac:dyDescent="0.25">
      <c r="A24" t="s">
        <v>25</v>
      </c>
      <c r="B24" s="10">
        <f>B22/(B22+B23)</f>
        <v>1</v>
      </c>
    </row>
    <row r="25" spans="1:2" x14ac:dyDescent="0.25">
      <c r="A25" t="s">
        <v>26</v>
      </c>
      <c r="B25" s="10">
        <f>1-B24</f>
        <v>0</v>
      </c>
    </row>
    <row r="26" spans="1:2" x14ac:dyDescent="0.25">
      <c r="A26" t="s">
        <v>27</v>
      </c>
      <c r="B26" s="12">
        <f>B24*B20+B25*B21*(1-B8)</f>
        <v>0.1148874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3751300000</v>
      </c>
      <c r="C29" s="8" t="s">
        <v>30</v>
      </c>
    </row>
    <row r="30" spans="1:2" x14ac:dyDescent="0.25">
      <c r="A30" t="s">
        <v>31</v>
      </c>
      <c r="B30" s="11">
        <v>-117000000</v>
      </c>
    </row>
    <row r="31" spans="1:2" x14ac:dyDescent="0.25">
      <c r="A31" t="s">
        <v>32</v>
      </c>
      <c r="B31" s="13">
        <v>323800000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-0.0056665159690078015</v>
      </c>
      <c r="C5" s="10">
        <f>Assumptions!B6</f>
        <v>-0.0056665159690078015</v>
      </c>
      <c r="D5" s="10">
        <f>Assumptions!B6</f>
        <v>-0.0056665159690078015</v>
      </c>
      <c r="E5" s="10">
        <f>Assumptions!B6</f>
        <v>-0.0056665159690078015</v>
      </c>
      <c r="F5" s="10">
        <f>Assumptions!B6</f>
        <v>-0.0056665159690078015</v>
      </c>
    </row>
    <row r="6" spans="1:6" x14ac:dyDescent="0.25">
      <c r="A6" t="s">
        <v>43</v>
      </c>
      <c r="B6" s="18">
        <f>Assumptions!B29*(1+B5)</f>
        <v>3730043198.645461</v>
      </c>
      <c r="C6" s="18">
        <f>B6*(1+C5)</f>
        <v>3708906849.2952476</v>
      </c>
      <c r="D6" s="18">
        <f>C6*(1+D5)</f>
        <v>3687890269.4061537</v>
      </c>
      <c r="E6" s="18">
        <f>D6*(1+E5)</f>
        <v>3666992780.302615</v>
      </c>
      <c r="F6" s="18">
        <f>E6*(1+F5)</f>
        <v>3646213707.154794</v>
      </c>
    </row>
    <row r="7" spans="1:6" x14ac:dyDescent="0.25">
      <c r="A7" t="s">
        <v>5</v>
      </c>
      <c r="B7" s="10">
        <f>Assumptions!B7</f>
        <v>0.1370597927410964</v>
      </c>
      <c r="C7" s="10">
        <f>Assumptions!B7</f>
        <v>0.1370597927410964</v>
      </c>
      <c r="D7" s="10">
        <f>Assumptions!B7</f>
        <v>0.1370597927410964</v>
      </c>
      <c r="E7" s="10">
        <f>Assumptions!B7</f>
        <v>0.1370597927410964</v>
      </c>
      <c r="F7" s="10">
        <f>Assumptions!B7</f>
        <v>0.1370597927410964</v>
      </c>
    </row>
    <row r="8" spans="1:6" x14ac:dyDescent="0.25">
      <c r="A8" t="s">
        <v>44</v>
      </c>
      <c r="B8" s="18">
        <f>B6*B7</f>
        <v>511238947.72168314</v>
      </c>
      <c r="C8" s="18">
        <f>C6*C7</f>
        <v>508342004.06043947</v>
      </c>
      <c r="D8" s="18">
        <f>D6*D7</f>
        <v>505461475.97671354</v>
      </c>
      <c r="E8" s="18">
        <f>E6*E7</f>
        <v>502597270.4513733</v>
      </c>
      <c r="F8" s="18">
        <f>F6*F7</f>
        <v>499749294.99238086</v>
      </c>
    </row>
    <row r="9" spans="1:6" x14ac:dyDescent="0.25">
      <c r="A9" t="s">
        <v>45</v>
      </c>
      <c r="B9" s="18">
        <f>B8*(1-Assumptions!B8)</f>
        <v>383429210.7912624</v>
      </c>
      <c r="C9" s="18">
        <f>C8*(1-Assumptions!B8)</f>
        <v>381256503.0453296</v>
      </c>
      <c r="D9" s="18">
        <f>D8*(1-Assumptions!B8)</f>
        <v>379096106.9825351</v>
      </c>
      <c r="E9" s="18">
        <f>E8*(1-Assumptions!B8)</f>
        <v>376947952.83852994</v>
      </c>
      <c r="F9" s="18">
        <f>F8*(1-Assumptions!B8)</f>
        <v>374811971.24428564</v>
      </c>
    </row>
    <row r="10" spans="1:6" x14ac:dyDescent="0.25">
      <c r="A10" t="s">
        <v>46</v>
      </c>
      <c r="B10" s="18">
        <f>B6*Assumptions!B9</f>
        <v>21275272.45322586</v>
      </c>
      <c r="C10" s="18">
        <f>C6*Assumptions!B9</f>
        <v>21154715.78212466</v>
      </c>
      <c r="D10" s="18">
        <f>D6*Assumptions!B9</f>
        <v>21034842.24732543</v>
      </c>
      <c r="E10" s="18">
        <f>E6*Assumptions!B9</f>
        <v>20915647.9778254</v>
      </c>
      <c r="F10" s="18">
        <f>F6*Assumptions!B9</f>
        <v>20797129.12455691</v>
      </c>
    </row>
    <row r="11" spans="1:6" x14ac:dyDescent="0.25">
      <c r="A11" t="s">
        <v>47</v>
      </c>
      <c r="B11" s="18">
        <f>-B6*Assumptions!B10</f>
        <v>-39196384.629875556</v>
      </c>
      <c r="C11" s="18">
        <f>-C6*Assumptions!B10</f>
        <v>-38974277.690442994</v>
      </c>
      <c r="D11" s="18">
        <f>-D6*Assumptions!B10</f>
        <v>-38753429.32352956</v>
      </c>
      <c r="E11" s="18">
        <f>-E6*Assumptions!B10</f>
        <v>-38533832.397413954</v>
      </c>
      <c r="F11" s="18">
        <f>-F6*Assumptions!B10</f>
        <v>-38315479.820786946</v>
      </c>
    </row>
    <row r="12" spans="1:6" x14ac:dyDescent="0.25">
      <c r="A12" t="s">
        <v>48</v>
      </c>
      <c r="B12" s="18">
        <f>-(B6-Assumptions!B29)*Assumptions!B11</f>
        <v>11570661.228540834</v>
      </c>
      <c r="C12" s="18">
        <f>-(C6-B6)*Assumptions!B11</f>
        <v>11505095.8919174</v>
      </c>
      <c r="D12" s="18">
        <f>-(D6-C6)*Assumptions!B11</f>
        <v>11439902.082320808</v>
      </c>
      <c r="E12" s="18">
        <f>-(E6-D6)*Assumptions!B11</f>
        <v>11375077.694487514</v>
      </c>
      <c r="F12" s="18">
        <f>-(F6-E6)*Assumptions!B11</f>
        <v>11310620.63508289</v>
      </c>
    </row>
    <row r="13" spans="1:6" x14ac:dyDescent="0.25">
      <c r="A13" s="19" t="s">
        <v>49</v>
      </c>
      <c r="B13" s="20">
        <f>B9+B10+B11+B12</f>
        <v>377078759.84315354</v>
      </c>
      <c r="C13" s="20">
        <f>C9+C10+C11+C12</f>
        <v>374942037.02892864</v>
      </c>
      <c r="D13" s="20">
        <f>D9+D10+D11+D12</f>
        <v>372817421.9886518</v>
      </c>
      <c r="E13" s="20">
        <f>E9+E10+E11+E12</f>
        <v>370704846.1134289</v>
      </c>
      <c r="F13" s="20">
        <f>F9+F10+F11+F12</f>
        <v>368604241.1831385</v>
      </c>
    </row>
    <row r="14" spans="1:6" x14ac:dyDescent="0.25">
      <c r="A14" t="s">
        <v>50</v>
      </c>
      <c r="B14" s="21">
        <f>1/(1+Assumptions!$B$26)^(1-0.5*Assumptions!$B$32)</f>
        <v>0.9470752697587969</v>
      </c>
      <c r="C14" s="21">
        <f>1/(1+Assumptions!$B$26)^(2-0.5*Assumptions!$B$32)</f>
        <v>0.8494806468875662</v>
      </c>
      <c r="D14" s="21">
        <f>1/(1+Assumptions!$B$26)^(3-0.5*Assumptions!$B$32)</f>
        <v>0.7619429970125828</v>
      </c>
      <c r="E14" s="21">
        <f>1/(1+Assumptions!$B$26)^(4-0.5*Assumptions!$B$32)</f>
        <v>0.6834259648217236</v>
      </c>
      <c r="F14" s="21">
        <f>1/(1+Assumptions!$B$26)^(5-0.5*Assumptions!$B$32)</f>
        <v>0.6129999897942372</v>
      </c>
    </row>
    <row r="15" spans="1:6" x14ac:dyDescent="0.25">
      <c r="A15" s="19" t="s">
        <v>51</v>
      </c>
      <c r="B15" s="20">
        <f>B13*B14</f>
        <v>357121968.1987672</v>
      </c>
      <c r="C15" s="20">
        <f>C13*C14</f>
        <v>318506004.1606761</v>
      </c>
      <c r="D15" s="20">
        <f>D13*D14</f>
        <v>284065623.84853816</v>
      </c>
      <c r="E15" s="20">
        <f>E13*E14</f>
        <v>253349317.11915872</v>
      </c>
      <c r="F15" s="20">
        <f>F13*F14</f>
        <v>225954396.08337644</v>
      </c>
    </row>
    <row r="17" spans="1:2" x14ac:dyDescent="0.25">
      <c r="A17" s="22" t="s">
        <v>52</v>
      </c>
      <c r="B17" s="23">
        <f>SUM(B15:F15)</f>
        <v>1438997309.4105165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368604241.1831385</v>
      </c>
    </row>
    <row r="5" spans="1:2" x14ac:dyDescent="0.25">
      <c r="A5" t="s">
        <v>56</v>
      </c>
      <c r="B5" s="18">
        <f>IF(Assumptions!$B$33=0,B4,B4-Forecast!F11-Forecast!F10-Forecast!F12)</f>
        <v>374830195.99490786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0.21760436740669561</v>
      </c>
    </row>
    <row r="7" spans="1:2" x14ac:dyDescent="0.25">
      <c r="A7" t="s">
        <v>58</v>
      </c>
      <c r="B7" s="18">
        <f>-MAX(Forecast!F9,0)*B6</f>
        <v>-81564687.68439965</v>
      </c>
    </row>
    <row r="8" spans="1:2" x14ac:dyDescent="0.25">
      <c r="A8" t="s">
        <v>59</v>
      </c>
      <c r="B8" s="18">
        <f>IF(OR(Assumptions!$B$33=0,Assumptions!B12&lt;=0),B5,MAX(B5+B7,0))</f>
        <v>293265508.3105082</v>
      </c>
    </row>
    <row r="9" spans="1:2" x14ac:dyDescent="0.25">
      <c r="A9" t="s">
        <v>60</v>
      </c>
      <c r="B9" s="18">
        <f>B8*(1+Assumptions!B12)/(Assumptions!B26-Assumptions!B12)</f>
        <v>3344152195.0603848</v>
      </c>
    </row>
    <row r="10" spans="1:2" x14ac:dyDescent="0.25">
      <c r="A10" t="s">
        <v>61</v>
      </c>
      <c r="B10" s="18">
        <f>B9/(1+Assumptions!B26)^(5-0.5*Assumptions!B32)</f>
        <v>2049965261.4423919</v>
      </c>
    </row>
    <row r="11" spans="1:2" x14ac:dyDescent="0.25">
      <c r="A11" t="s">
        <v>62</v>
      </c>
      <c r="B11" s="18">
        <f>Forecast!B17+B10</f>
        <v>3488962570.852908</v>
      </c>
    </row>
    <row r="12" spans="1:2" x14ac:dyDescent="0.25">
      <c r="A12" t="s">
        <v>63</v>
      </c>
      <c r="B12" s="18">
        <f>-Assumptions!B30</f>
        <v>117000000</v>
      </c>
    </row>
    <row r="13" spans="1:2" x14ac:dyDescent="0.25">
      <c r="A13" t="s">
        <v>64</v>
      </c>
      <c r="B13" s="18">
        <f>B11+B12</f>
        <v>3605962570.852908</v>
      </c>
    </row>
    <row r="14" spans="1:2" x14ac:dyDescent="0.25">
      <c r="A14" s="19" t="s">
        <v>65</v>
      </c>
      <c r="B14" s="24">
        <f>B13/Assumptions!B31</f>
        <v>11.136388421411082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520546424.11693776</v>
      </c>
    </row>
    <row r="18" spans="1:2" x14ac:dyDescent="0.25">
      <c r="A18" t="s">
        <v>60</v>
      </c>
      <c r="B18" s="18">
        <f>B17*Assumptions!B13</f>
        <v>4295843448.279025</v>
      </c>
    </row>
    <row r="19" spans="1:2" x14ac:dyDescent="0.25">
      <c r="A19" t="s">
        <v>61</v>
      </c>
      <c r="B19" s="18">
        <f>B18/(1+Assumptions!B26)^(5-0.5*Assumptions!B32)</f>
        <v>2633351989.952683</v>
      </c>
    </row>
    <row r="20" spans="1:2" x14ac:dyDescent="0.25">
      <c r="A20" t="s">
        <v>62</v>
      </c>
      <c r="B20" s="18">
        <f>Forecast!B17+B19</f>
        <v>4072349299.363199</v>
      </c>
    </row>
    <row r="21" spans="1:2" x14ac:dyDescent="0.25">
      <c r="A21" t="s">
        <v>63</v>
      </c>
      <c r="B21" s="18">
        <f>-Assumptions!B30</f>
        <v>117000000</v>
      </c>
    </row>
    <row r="22" spans="1:2" x14ac:dyDescent="0.25">
      <c r="A22" t="s">
        <v>64</v>
      </c>
      <c r="B22" s="18">
        <f>B20+B21</f>
        <v>4189349299.363199</v>
      </c>
    </row>
    <row r="23" spans="1:2" x14ac:dyDescent="0.25">
      <c r="A23" s="19" t="s">
        <v>65</v>
      </c>
      <c r="B23" s="25">
        <f>B22/Assumptions!B31</f>
        <v>12.93807689735392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1151.5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1113.6388421411082</v>
      </c>
    </row>
    <row r="29" spans="1:2" x14ac:dyDescent="0.25">
      <c r="A29" s="19" t="s">
        <v>73</v>
      </c>
      <c r="B29" s="12">
        <f>B28/B26-1</f>
        <v>-0.032879859191395466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0.094887</v>
      </c>
      <c r="B5" s="31">
        <v>13.22838636701155</v>
      </c>
      <c r="C5" s="31">
        <v>13.268952085016444</v>
      </c>
      <c r="D5" s="31">
        <v>13.309517803021338</v>
      </c>
      <c r="E5" s="31">
        <v>13.350083521026232</v>
      </c>
      <c r="F5" s="31">
        <v>13.390649239031118</v>
      </c>
    </row>
    <row r="6" spans="1:6" x14ac:dyDescent="0.25">
      <c r="A6" s="30">
        <v>0.104887</v>
      </c>
      <c r="B6" s="31">
        <v>12.048802789602286</v>
      </c>
      <c r="C6" s="31">
        <v>12.084029791218288</v>
      </c>
      <c r="D6" s="31">
        <v>12.119256792834294</v>
      </c>
      <c r="E6" s="31">
        <v>12.154483794450298</v>
      </c>
      <c r="F6" s="31">
        <v>12.189710796066299</v>
      </c>
    </row>
    <row r="7" spans="1:6" x14ac:dyDescent="0.25">
      <c r="A7" s="30">
        <v>0.114887</v>
      </c>
      <c r="B7" s="31">
        <v>11.074658517895386</v>
      </c>
      <c r="C7" s="31">
        <v>11.105541413215887</v>
      </c>
      <c r="D7" s="32">
        <v>11.13642430853639</v>
      </c>
      <c r="E7" s="31">
        <v>11.16730720385689</v>
      </c>
      <c r="F7" s="31">
        <v>11.19819009917739</v>
      </c>
    </row>
    <row r="8" spans="1:6" x14ac:dyDescent="0.25">
      <c r="A8" s="30">
        <v>0.124887</v>
      </c>
      <c r="B8" s="31">
        <v>10.256588567224656</v>
      </c>
      <c r="C8" s="31">
        <v>10.283879630518166</v>
      </c>
      <c r="D8" s="31">
        <v>10.311170693811677</v>
      </c>
      <c r="E8" s="31">
        <v>10.338461757105186</v>
      </c>
      <c r="F8" s="31">
        <v>10.365752820398695</v>
      </c>
    </row>
    <row r="9" spans="1:6" x14ac:dyDescent="0.25">
      <c r="A9" s="30">
        <v>0.134887</v>
      </c>
      <c r="B9" s="31">
        <v>9.559867923757514</v>
      </c>
      <c r="C9" s="31">
        <v>9.584149162471098</v>
      </c>
      <c r="D9" s="31">
        <v>9.60843040118468</v>
      </c>
      <c r="E9" s="31">
        <v>9.632711639898263</v>
      </c>
      <c r="F9" s="31">
        <v>9.656992878611847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3751300000</v>
      </c>
      <c r="C5" s="18">
        <v>3200700000</v>
      </c>
      <c r="D5" s="18">
        <v>2773200000</v>
      </c>
      <c r="E5" s="18">
        <v>3815800000</v>
      </c>
      <c r="F5" s="8" t="s">
        <v>84</v>
      </c>
    </row>
    <row r="6" spans="1:6" x14ac:dyDescent="0.25">
      <c r="A6" t="s">
        <v>44</v>
      </c>
      <c r="B6" s="18">
        <v>412700000</v>
      </c>
      <c r="C6" s="18">
        <v>394200000</v>
      </c>
      <c r="D6" s="18">
        <v>346900000</v>
      </c>
      <c r="E6" s="18">
        <v>724900000</v>
      </c>
      <c r="F6" s="8" t="s">
        <v>85</v>
      </c>
    </row>
    <row r="7" spans="1:6" x14ac:dyDescent="0.25">
      <c r="A7" t="s">
        <v>86</v>
      </c>
      <c r="B7" s="18">
        <v>21200000</v>
      </c>
      <c r="C7" s="18">
        <v>20100000</v>
      </c>
      <c r="D7" s="18">
        <v>18700000</v>
      </c>
      <c r="E7" s="18">
        <v>15800000</v>
      </c>
      <c r="F7" s="8" t="s">
        <v>87</v>
      </c>
    </row>
    <row r="8" spans="1:6" x14ac:dyDescent="0.25">
      <c r="A8" t="s">
        <v>88</v>
      </c>
      <c r="B8" s="18">
        <v>40600000</v>
      </c>
      <c r="C8" s="18">
        <v>32300000</v>
      </c>
      <c r="D8" s="18">
        <v>36400000</v>
      </c>
      <c r="E8" s="18">
        <v>30500000</v>
      </c>
      <c r="F8" s="8" t="s">
        <v>89</v>
      </c>
    </row>
    <row r="9" spans="1:6" x14ac:dyDescent="0.25">
      <c r="A9" t="s">
        <v>90</v>
      </c>
      <c r="B9" s="18">
        <v>349400000</v>
      </c>
      <c r="C9" s="18">
        <v>232700000</v>
      </c>
      <c r="D9" s="18">
        <v>425700000</v>
      </c>
      <c r="E9" s="18">
        <v>459200000</v>
      </c>
      <c r="F9" s="8" t="s">
        <v>91</v>
      </c>
    </row>
    <row r="10" spans="1:6" x14ac:dyDescent="0.25">
      <c r="A10" t="s">
        <v>92</v>
      </c>
      <c r="B10" s="18">
        <v>0</v>
      </c>
      <c r="C10" s="18">
        <v>0</v>
      </c>
      <c r="D10" s="18">
        <v>0</v>
      </c>
      <c r="E10" s="18">
        <v>0</v>
      </c>
      <c r="F10" s="8" t="s">
        <v>93</v>
      </c>
    </row>
    <row r="11" spans="1:6" x14ac:dyDescent="0.25">
      <c r="A11" t="s">
        <v>94</v>
      </c>
      <c r="B11" s="18">
        <v>117000000</v>
      </c>
      <c r="C11" s="18">
        <v>258600000</v>
      </c>
      <c r="D11" s="18">
        <v>420100000</v>
      </c>
      <c r="E11" s="18">
        <v>861600000</v>
      </c>
      <c r="F11" s="8" t="s">
        <v>95</v>
      </c>
    </row>
    <row r="12" spans="1:6" x14ac:dyDescent="0.25">
      <c r="A12" t="s">
        <v>32</v>
      </c>
      <c r="B12" s="34">
        <v>323800000</v>
      </c>
      <c r="C12" s="34">
        <v>323100000</v>
      </c>
      <c r="D12" s="34">
        <v>321000000</v>
      </c>
      <c r="E12" s="34">
        <v>321800000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2026-09-19T00:07:18Z</dcterms:modified>
</cp:coreProperties>
</file>