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<sst xmlns="http://schemas.openxmlformats.org/spreadsheetml/2006/main" count="112" uniqueCount="100">
  <si>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Pearson plc (PSON.L)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</si>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</sst>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-0.023456610892083396</v>
      </c>
    </row>
    <row r="7" spans="1:2" x14ac:dyDescent="0.25">
      <c r="A7" t="s">
        <v>5</v>
      </c>
      <c r="B7" s="6">
        <v>0.14062530215235017</v>
      </c>
    </row>
    <row r="8" spans="1:2" x14ac:dyDescent="0.25">
      <c r="A8" t="s">
        <v>6</v>
      </c>
      <c r="B8" s="6">
        <v>0.23689548414647166</v>
      </c>
    </row>
    <row r="9" spans="1:2" x14ac:dyDescent="0.25">
      <c r="A9" t="s">
        <v>7</v>
      </c>
      <c r="B9" s="6">
        <v>0.15410186995541714</v>
      </c>
    </row>
    <row r="10" spans="1:2" x14ac:dyDescent="0.25">
      <c r="A10" t="s">
        <v>8</v>
      </c>
      <c r="B10" s="6">
        <v>0.03623444991684328</v>
      </c>
    </row>
    <row r="11" spans="1:2" x14ac:dyDescent="0.25">
      <c r="A11" t="s">
        <v>9</v>
      </c>
      <c r="B11" s="6">
        <v>-0.1721311475409836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7.052891475578406</v>
      </c>
    </row>
    <row r="14" spans="1:3" x14ac:dyDescent="0.25">
      <c r="A14" t="s">
        <v>12</v>
      </c>
      <c r="B14" s="6">
        <v>0.08423375046425606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0.30721999999999994</v>
      </c>
      <c r="C19" s="8" t="s">
        <v>19</v>
      </c>
    </row>
    <row r="20" spans="1:2" x14ac:dyDescent="0.25">
      <c r="A20" t="s">
        <v>20</v>
      </c>
      <c r="B20" s="10">
        <f>B17+B19*B18</f>
        <v>0.0618971</v>
      </c>
    </row>
    <row r="21" spans="1:3" x14ac:dyDescent="0.25">
      <c r="A21" t="s">
        <v>21</v>
      </c>
      <c r="B21" s="6">
        <v>0.05079580088046055</v>
      </c>
      <c r="C21" s="8" t="s">
        <v>22</v>
      </c>
    </row>
    <row r="22" spans="1:2" x14ac:dyDescent="0.25">
      <c r="A22" t="s">
        <v>23</v>
      </c>
      <c r="B22" s="11">
        <v>7082724352</v>
      </c>
    </row>
    <row r="23" spans="1:2" x14ac:dyDescent="0.25">
      <c r="A23" t="s">
        <v>24</v>
      </c>
      <c r="B23" s="11">
        <v>1481000000</v>
      </c>
    </row>
    <row r="24" spans="1:2" x14ac:dyDescent="0.25">
      <c r="A24" t="s">
        <v>25</v>
      </c>
      <c r="B24" s="10">
        <f>B22/(B22+B23)</f>
        <v>0.8270612248683457</v>
      </c>
    </row>
    <row r="25" spans="1:2" x14ac:dyDescent="0.25">
      <c r="A25" t="s">
        <v>26</v>
      </c>
      <c r="B25" s="10">
        <f>1-B24</f>
        <v>0.17293877513165434</v>
      </c>
    </row>
    <row r="26" spans="1:2" x14ac:dyDescent="0.25">
      <c r="A26" t="s">
        <v>27</v>
      </c>
      <c r="B26" s="12">
        <f>B24*B20+B25*B21*(1-B8)</f>
        <v>0.05789623148415252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3577000000</v>
      </c>
      <c r="C29" s="8" t="s">
        <v>30</v>
      </c>
    </row>
    <row r="30" spans="1:2" x14ac:dyDescent="0.25">
      <c r="A30" t="s">
        <v>31</v>
      </c>
      <c r="B30" s="11">
        <v>1148000000</v>
      </c>
    </row>
    <row r="31" spans="1:2" x14ac:dyDescent="0.25">
      <c r="A31" t="s">
        <v>32</v>
      </c>
      <c r="B31" s="13">
        <v>660300000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-0.023456610892083396</v>
      </c>
      <c r="C5" s="10">
        <f>Assumptions!B6</f>
        <v>-0.023456610892083396</v>
      </c>
      <c r="D5" s="10">
        <f>Assumptions!B6</f>
        <v>-0.023456610892083396</v>
      </c>
      <c r="E5" s="10">
        <f>Assumptions!B6</f>
        <v>-0.023456610892083396</v>
      </c>
      <c r="F5" s="10">
        <f>Assumptions!B6</f>
        <v>-0.023456610892083396</v>
      </c>
    </row>
    <row r="6" spans="1:6" x14ac:dyDescent="0.25">
      <c r="A6" t="s">
        <v>43</v>
      </c>
      <c r="B6" s="18">
        <f>Assumptions!B29*(1+B5)</f>
        <v>3493095702.839018</v>
      </c>
      <c r="C6" s="18">
        <f>B6*(1+C5)</f>
        <v>3411159516.1287146</v>
      </c>
      <c r="D6" s="18">
        <f>C6*(1+D5)</f>
        <v>3331145274.668056</v>
      </c>
      <c r="E6" s="18">
        <f>D6*(1+E5)</f>
        <v>3253007896.135165</v>
      </c>
      <c r="F6" s="18">
        <f>E6*(1+F5)</f>
        <v>3176703355.686648</v>
      </c>
    </row>
    <row r="7" spans="1:6" x14ac:dyDescent="0.25">
      <c r="A7" t="s">
        <v>5</v>
      </c>
      <c r="B7" s="10">
        <f>Assumptions!B7</f>
        <v>0.14062530215235017</v>
      </c>
      <c r="C7" s="10">
        <f>Assumptions!B7</f>
        <v>0.14062530215235017</v>
      </c>
      <c r="D7" s="10">
        <f>Assumptions!B7</f>
        <v>0.14062530215235017</v>
      </c>
      <c r="E7" s="10">
        <f>Assumptions!B7</f>
        <v>0.14062530215235017</v>
      </c>
      <c r="F7" s="10">
        <f>Assumptions!B7</f>
        <v>0.14062530215235017</v>
      </c>
    </row>
    <row r="8" spans="1:6" x14ac:dyDescent="0.25">
      <c r="A8" t="s">
        <v>44</v>
      </c>
      <c r="B8" s="18">
        <f>B6*B7</f>
        <v>491217638.6588129</v>
      </c>
      <c r="C8" s="18">
        <f>C6*C7</f>
        <v>479695337.6454651</v>
      </c>
      <c r="D8" s="18">
        <f>D6*D7</f>
        <v>468443310.7635689</v>
      </c>
      <c r="E8" s="18">
        <f>E6*E7</f>
        <v>457455218.29798853</v>
      </c>
      <c r="F8" s="18">
        <f>F6*F7</f>
        <v>446724869.24181956</v>
      </c>
    </row>
    <row r="9" spans="1:6" x14ac:dyDescent="0.25">
      <c r="A9" t="s">
        <v>45</v>
      </c>
      <c r="B9" s="18">
        <f>B8*(1-Assumptions!B8)</f>
        <v>374850398.3274468</v>
      </c>
      <c r="C9" s="18">
        <f>C8*(1-Assumptions!B8)</f>
        <v>366057678.3911374</v>
      </c>
      <c r="D9" s="18">
        <f>D8*(1-Assumptions!B8)</f>
        <v>357471205.8650572</v>
      </c>
      <c r="E9" s="18">
        <f>E8*(1-Assumptions!B8)</f>
        <v>349086142.8839567</v>
      </c>
      <c r="F9" s="18">
        <f>F8*(1-Assumptions!B8)</f>
        <v>340897765.0625095</v>
      </c>
    </row>
    <row r="10" spans="1:6" x14ac:dyDescent="0.25">
      <c r="A10" t="s">
        <v>46</v>
      </c>
      <c r="B10" s="18">
        <f>B6*Assumptions!B9</f>
        <v>538292579.7407248</v>
      </c>
      <c r="C10" s="18">
        <f>C6*Assumptions!B9</f>
        <v>525666060.15165085</v>
      </c>
      <c r="D10" s="18">
        <f>D6*Assumptions!B9</f>
        <v>513335715.91949904</v>
      </c>
      <c r="E10" s="18">
        <f>E6*Assumptions!B9</f>
        <v>501294599.77416635</v>
      </c>
      <c r="F10" s="18">
        <f>F6*Assumptions!B9</f>
        <v>489535927.40496105</v>
      </c>
    </row>
    <row r="11" spans="1:6" x14ac:dyDescent="0.25">
      <c r="A11" t="s">
        <v>47</v>
      </c>
      <c r="B11" s="18">
        <f>-B6*Assumptions!B10</f>
        <v>-126570401.29926085</v>
      </c>
      <c r="C11" s="18">
        <f>-C6*Assumptions!B10</f>
        <v>-123601488.64552926</v>
      </c>
      <c r="D11" s="18">
        <f>-D6*Assumptions!B10</f>
        <v>-120702216.62068881</v>
      </c>
      <c r="E11" s="18">
        <f>-E6*Assumptions!B10</f>
        <v>-117870951.69160536</v>
      </c>
      <c r="F11" s="18">
        <f>-F6*Assumptions!B10</f>
        <v>-115106098.64229582</v>
      </c>
    </row>
    <row r="12" spans="1:6" x14ac:dyDescent="0.25">
      <c r="A12" t="s">
        <v>48</v>
      </c>
      <c r="B12" s="18">
        <f>-(B6-Assumptions!B29)*Assumptions!B11</f>
        <v>-14442542.953939548</v>
      </c>
      <c r="C12" s="18">
        <f>-(C6-B6)*Assumptions!B11</f>
        <v>-14103769.843576798</v>
      </c>
      <c r="D12" s="18">
        <f>-(D6-C6)*Assumptions!B11</f>
        <v>-13772943.202244503</v>
      </c>
      <c r="E12" s="18">
        <f>-(E6-D6)*Assumptions!B11</f>
        <v>-13449876.63271071</v>
      </c>
      <c r="F12" s="18">
        <f>-(F6-E6)*Assumptions!B11</f>
        <v>-13134388.109990686</v>
      </c>
    </row>
    <row r="13" spans="1:6" x14ac:dyDescent="0.25">
      <c r="A13" s="19" t="s">
        <v>49</v>
      </c>
      <c r="B13" s="20">
        <f>B9+B10+B11+B12</f>
        <v>772130033.8149712</v>
      </c>
      <c r="C13" s="20">
        <f>C9+C10+C11+C12</f>
        <v>754018480.0536822</v>
      </c>
      <c r="D13" s="20">
        <f>D9+D10+D11+D12</f>
        <v>736331761.9616228</v>
      </c>
      <c r="E13" s="20">
        <f>E9+E10+E11+E12</f>
        <v>719059914.333807</v>
      </c>
      <c r="F13" s="20">
        <f>F9+F10+F11+F12</f>
        <v>702193205.715184</v>
      </c>
    </row>
    <row r="14" spans="1:6" x14ac:dyDescent="0.25">
      <c r="A14" t="s">
        <v>50</v>
      </c>
      <c r="B14" s="21">
        <f>1/(1+Assumptions!$B$26)^(1-0.5*Assumptions!$B$32)</f>
        <v>0.9722511487866092</v>
      </c>
      <c r="C14" s="21">
        <f>1/(1+Assumptions!$B$26)^(2-0.5*Assumptions!$B$32)</f>
        <v>0.919042076010244</v>
      </c>
      <c r="D14" s="21">
        <f>1/(1+Assumptions!$B$26)^(3-0.5*Assumptions!$B$32)</f>
        <v>0.8687450136020374</v>
      </c>
      <c r="E14" s="21">
        <f>1/(1+Assumptions!$B$26)^(4-0.5*Assumptions!$B$32)</f>
        <v>0.8212005939214383</v>
      </c>
      <c r="F14" s="21">
        <f>1/(1+Assumptions!$B$26)^(5-0.5*Assumptions!$B$32)</f>
        <v>0.776258171152905</v>
      </c>
    </row>
    <row r="15" spans="1:6" x14ac:dyDescent="0.25">
      <c r="A15" s="19" t="s">
        <v>51</v>
      </c>
      <c r="B15" s="20">
        <f>B13*B14</f>
        <v>750704312.3892492</v>
      </c>
      <c r="C15" s="20">
        <f>C13*C14</f>
        <v>692974709.2586249</v>
      </c>
      <c r="D15" s="20">
        <f>D13*D14</f>
        <v>639684546.5609622</v>
      </c>
      <c r="E15" s="20">
        <f>E13*E14</f>
        <v>590492428.7160208</v>
      </c>
      <c r="F15" s="20">
        <f>F13*F14</f>
        <v>545083213.6644642</v>
      </c>
    </row>
    <row r="17" spans="1:2" x14ac:dyDescent="0.25">
      <c r="A17" s="22" t="s">
        <v>52</v>
      </c>
      <c r="B17" s="23">
        <f>SUM(B15:F15)</f>
        <v>3218939210.589321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702193205.715184</v>
      </c>
    </row>
    <row r="5" spans="1:2" x14ac:dyDescent="0.25">
      <c r="A5" t="s">
        <v>56</v>
      </c>
      <c r="B5" s="18">
        <f>IF(Assumptions!$B$33=0,B4,B4-Forecast!F11-Forecast!F10-Forecast!F12)</f>
        <v>655874014.3896736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0.2967931483783161</v>
      </c>
    </row>
    <row r="7" spans="1:2" x14ac:dyDescent="0.25">
      <c r="A7" t="s">
        <v>58</v>
      </c>
      <c r="B7" s="18">
        <f>-MAX(Forecast!F9,0)*B6</f>
        <v>-194658913.67023623</v>
      </c>
    </row>
    <row r="8" spans="1:2" x14ac:dyDescent="0.25">
      <c r="A8" t="s">
        <v>59</v>
      </c>
      <c r="B8" s="18">
        <f>IF(OR(Assumptions!$B$33=0,Assumptions!B12&lt;=0),B5,MAX(B5+B7,0))</f>
        <v>461215100.71943736</v>
      </c>
    </row>
    <row r="9" spans="1:2" x14ac:dyDescent="0.25">
      <c r="A9" t="s">
        <v>60</v>
      </c>
      <c r="B9" s="18">
        <f>B8*(1+Assumptions!B12)/(Assumptions!B26-Assumptions!B12)</f>
        <v>14370809570.244066</v>
      </c>
    </row>
    <row r="10" spans="1:2" x14ac:dyDescent="0.25">
      <c r="A10" t="s">
        <v>61</v>
      </c>
      <c r="B10" s="18">
        <f>B9/(1+Assumptions!B26)^(5-0.5*Assumptions!B32)</f>
        <v>11155458354.984324</v>
      </c>
    </row>
    <row r="11" spans="1:2" x14ac:dyDescent="0.25">
      <c r="A11" t="s">
        <v>62</v>
      </c>
      <c r="B11" s="18">
        <f>Forecast!B17+B10</f>
        <v>14374397565.573645</v>
      </c>
    </row>
    <row r="12" spans="1:2" x14ac:dyDescent="0.25">
      <c r="A12" t="s">
        <v>63</v>
      </c>
      <c r="B12" s="18">
        <f>-Assumptions!B30</f>
        <v>-1148000000</v>
      </c>
    </row>
    <row r="13" spans="1:2" x14ac:dyDescent="0.25">
      <c r="A13" t="s">
        <v>64</v>
      </c>
      <c r="B13" s="18">
        <f>B11+B12</f>
        <v>13226397565.573645</v>
      </c>
    </row>
    <row r="14" spans="1:2" x14ac:dyDescent="0.25">
      <c r="A14" s="19" t="s">
        <v>65</v>
      </c>
      <c r="B14" s="24">
        <f>B13/Assumptions!B31</f>
        <v>20.030891360856646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936260796.6467806</v>
      </c>
    </row>
    <row r="18" spans="1:2" x14ac:dyDescent="0.25">
      <c r="A18" t="s">
        <v>60</v>
      </c>
      <c r="B18" s="18">
        <f>B17*Assumptions!B13</f>
        <v>6603345791.588326</v>
      </c>
    </row>
    <row r="19" spans="1:2" x14ac:dyDescent="0.25">
      <c r="A19" t="s">
        <v>61</v>
      </c>
      <c r="B19" s="18">
        <f>B18/(1+Assumptions!B26)^(5-0.5*Assumptions!B32)</f>
        <v>5125901127.668586</v>
      </c>
    </row>
    <row r="20" spans="1:2" x14ac:dyDescent="0.25">
      <c r="A20" t="s">
        <v>62</v>
      </c>
      <c r="B20" s="18">
        <f>Forecast!B17+B19</f>
        <v>8344840338.257907</v>
      </c>
    </row>
    <row r="21" spans="1:2" x14ac:dyDescent="0.25">
      <c r="A21" t="s">
        <v>63</v>
      </c>
      <c r="B21" s="18">
        <f>-Assumptions!B30</f>
        <v>-1148000000</v>
      </c>
    </row>
    <row r="22" spans="1:2" x14ac:dyDescent="0.25">
      <c r="A22" t="s">
        <v>64</v>
      </c>
      <c r="B22" s="18">
        <f>B20+B21</f>
        <v>7196840338.257907</v>
      </c>
    </row>
    <row r="23" spans="1:2" x14ac:dyDescent="0.25">
      <c r="A23" s="19" t="s">
        <v>65</v>
      </c>
      <c r="B23" s="25">
        <f>B22/Assumptions!B31</f>
        <v>10.899349293136313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1178.5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2003.0891360856647</v>
      </c>
    </row>
    <row r="29" spans="1:2" x14ac:dyDescent="0.25">
      <c r="A29" s="19" t="s">
        <v>73</v>
      </c>
      <c r="B29" s="12">
        <f>B28/B26-1</f>
        <v>0.6996937938783747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0.037896</v>
      </c>
      <c r="B5" s="31">
        <v>33.975256896125416</v>
      </c>
      <c r="C5" s="31">
        <v>39.87901189238918</v>
      </c>
      <c r="D5" s="31">
        <v>50.32206697844693</v>
      </c>
      <c r="E5" s="31">
        <v>73.92771259843627</v>
      </c>
      <c r="F5" s="31">
        <v>178.87234999855008</v>
      </c>
    </row>
    <row r="6" spans="1:6" x14ac:dyDescent="0.25">
      <c r="A6" s="30">
        <v>0.047896</v>
      </c>
      <c r="B6" s="31">
        <v>23.654457939626315</v>
      </c>
      <c r="C6" s="31">
        <v>25.68431070633641</v>
      </c>
      <c r="D6" s="31">
        <v>28.579854167538368</v>
      </c>
      <c r="E6" s="31">
        <v>33.06668959823098</v>
      </c>
      <c r="F6" s="31">
        <v>40.995730424465734</v>
      </c>
    </row>
    <row r="7" spans="1:6" x14ac:dyDescent="0.25">
      <c r="A7" s="30">
        <v>0.057896</v>
      </c>
      <c r="B7" s="31">
        <v>18.13206226238656</v>
      </c>
      <c r="C7" s="31">
        <v>18.96230965389635</v>
      </c>
      <c r="D7" s="32">
        <v>20.031029377317296</v>
      </c>
      <c r="E7" s="31">
        <v>21.466450747915683</v>
      </c>
      <c r="F7" s="31">
        <v>23.508813314418862</v>
      </c>
    </row>
    <row r="8" spans="1:6" x14ac:dyDescent="0.25">
      <c r="A8" s="30">
        <v>0.067896</v>
      </c>
      <c r="B8" s="31">
        <v>14.687261243549065</v>
      </c>
      <c r="C8" s="31">
        <v>15.033254390724823</v>
      </c>
      <c r="D8" s="31">
        <v>15.449678726789603</v>
      </c>
      <c r="E8" s="31">
        <v>15.964412334742557</v>
      </c>
      <c r="F8" s="31">
        <v>16.62228252119611</v>
      </c>
    </row>
    <row r="9" spans="1:6" x14ac:dyDescent="0.25">
      <c r="A9" s="30">
        <v>0.077896</v>
      </c>
      <c r="B9" s="31">
        <v>12.329566441876644</v>
      </c>
      <c r="C9" s="31">
        <v>12.450559637119046</v>
      </c>
      <c r="D9" s="31">
        <v>12.586473377832334</v>
      </c>
      <c r="E9" s="31">
        <v>12.741980458865012</v>
      </c>
      <c r="F9" s="31">
        <v>12.923932337341066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3577000000</v>
      </c>
      <c r="C5" s="18">
        <v>3552000000</v>
      </c>
      <c r="D5" s="18">
        <v>3674000000</v>
      </c>
      <c r="E5" s="18">
        <v>3841000000</v>
      </c>
      <c r="F5" s="8" t="s">
        <v>84</v>
      </c>
    </row>
    <row r="6" spans="1:6" x14ac:dyDescent="0.25">
      <c r="A6" t="s">
        <v>44</v>
      </c>
      <c r="B6" s="18">
        <v>596000000</v>
      </c>
      <c r="C6" s="18">
        <v>544000000</v>
      </c>
      <c r="D6" s="18">
        <v>513000000</v>
      </c>
      <c r="E6" s="18">
        <v>396000000</v>
      </c>
      <c r="F6" s="8" t="s">
        <v>85</v>
      </c>
    </row>
    <row r="7" spans="1:6" x14ac:dyDescent="0.25">
      <c r="A7" t="s">
        <v>86</v>
      </c>
      <c r="B7" s="18">
        <v>571000000</v>
      </c>
      <c r="C7" s="18">
        <v>526000000</v>
      </c>
      <c r="D7" s="18">
        <v>543000000</v>
      </c>
      <c r="E7" s="18">
        <v>618000000</v>
      </c>
      <c r="F7" s="8" t="s">
        <v>87</v>
      </c>
    </row>
    <row r="8" spans="1:6" x14ac:dyDescent="0.25">
      <c r="A8" t="s">
        <v>88</v>
      </c>
      <c r="B8" s="18">
        <v>134000000</v>
      </c>
      <c r="C8" s="18">
        <v>124000000</v>
      </c>
      <c r="D8" s="18">
        <v>126000000</v>
      </c>
      <c r="E8" s="18">
        <v>147000000</v>
      </c>
      <c r="F8" s="8" t="s">
        <v>89</v>
      </c>
    </row>
    <row r="9" spans="1:6" x14ac:dyDescent="0.25">
      <c r="A9" t="s">
        <v>90</v>
      </c>
      <c r="B9" s="18">
        <v>104000000</v>
      </c>
      <c r="C9" s="18">
        <v>21000000</v>
      </c>
      <c r="D9" s="18">
        <v>112000000</v>
      </c>
      <c r="E9" s="18">
        <v>35000000</v>
      </c>
      <c r="F9" s="8" t="s">
        <v>91</v>
      </c>
    </row>
    <row r="10" spans="1:6" x14ac:dyDescent="0.25">
      <c r="A10" t="s">
        <v>92</v>
      </c>
      <c r="B10" s="18">
        <v>1481000000</v>
      </c>
      <c r="C10" s="18">
        <v>1472000000</v>
      </c>
      <c r="D10" s="18">
        <v>1161000000</v>
      </c>
      <c r="E10" s="18">
        <v>1230000000</v>
      </c>
      <c r="F10" s="8" t="s">
        <v>93</v>
      </c>
    </row>
    <row r="11" spans="1:6" x14ac:dyDescent="0.25">
      <c r="A11" t="s">
        <v>94</v>
      </c>
      <c r="B11" s="18">
        <v>333000000</v>
      </c>
      <c r="C11" s="18">
        <v>543000000</v>
      </c>
      <c r="D11" s="18">
        <v>312000000</v>
      </c>
      <c r="E11" s="18">
        <v>558000000</v>
      </c>
      <c r="F11" s="8" t="s">
        <v>95</v>
      </c>
    </row>
    <row r="12" spans="1:6" x14ac:dyDescent="0.25">
      <c r="A12" t="s">
        <v>32</v>
      </c>
      <c r="B12" s="34">
        <v>660300000</v>
      </c>
      <c r="C12" s="34">
        <v>684000000</v>
      </c>
      <c r="D12" s="34">
        <v>717300000</v>
      </c>
      <c r="E12" s="34">
        <v>742000000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