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<sst xmlns="http://schemas.openxmlformats.org/spreadsheetml/2006/main" count="113" uniqueCount="101">
  <si>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Poste Italiane S.p.A. (PST.MI)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</si>
  <si>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</si>
  <si>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</si>
  <si>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</si>
  <si>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</si>
  <si>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</si>
  <si>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</si>
  <si>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</si>
  <si>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</si>
  <si>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</si>
  <si>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</si>
  <si>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</si>
  <si>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</si>
  <si>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</si>
  <si>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</si>
  <si>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</si>
  <si>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</si>
  <si>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</si>
  <si>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</si>
  <si>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</si>
  <si>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</si>
  <si>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</si>
  <si>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</si>
  <si>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</si>
  <si>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</si>
  <si>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</si>
  <si>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</si>
  <si>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</si>
  <si>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</si>
  <si>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</si>
  <si>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</si>
  <si>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</si>
  <si>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</si>
  <si>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</si>
  <si>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</si>
  <si>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</si>
  <si>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</si>
  <si>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</si>
  <si>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</si>
  <si>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</si>
  <si>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</si>
  <si>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</si>
  <si>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</si>
  <si>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</si>
  <si>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</si>
  <si>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</si>
  <si>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</si>
  <si>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</si>
  <si>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</si>
  <si>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</si>
  <si>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</si>
  <si>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</si>
  <si>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</si>
  <si>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</si>
  <si>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</si>
  <si>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</si>
  <si>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</si>
  <si>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</si>
  <si>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</si>
  <si>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</si>
  <si>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</si>
  <si>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</si>
  <si>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</si>
  <si>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</si>
  <si>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</si>
  <si>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</si>
  <si>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</si>
  <si>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</si>
  <si>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</si>
  <si>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</si>
  <si>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</si>
  <si>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</si>
  <si>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</si>
  <si>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</si>
  <si>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</si>
  <si>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</si>
  <si>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</si>
  <si>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</si>
  <si>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</si>
  <si>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</si>
  <si>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</si>
  <si>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</si>
  <si>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</si>
  <si>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</si>
  <si>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</si>
  <si>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</si>
  <si>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</si>
  <si>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</si>
  <si>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</si>
  <si>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</si>
  <si>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</si>
  <si>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</si>
  <si>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</si>
  <si>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</si>
  <si>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</si>
  <si>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</si>
  <si>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</si>
  <si>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</si>
  <si>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</si>
  <si>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Current EV/EBITDA of 1.1x sits outside a defensible 3-20x band, so the exit multiple is capped at 3.0x.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</si>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</sst>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0.08357547561951084</v>
      </c>
    </row>
    <row r="7" spans="1:2" x14ac:dyDescent="0.25">
      <c r="A7" t="s">
        <v>5</v>
      </c>
      <c r="B7" s="6">
        <v>0.15027488378937398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0.0428492570512726</v>
      </c>
    </row>
    <row r="10" spans="1:2" x14ac:dyDescent="0.25">
      <c r="A10" t="s">
        <v>8</v>
      </c>
      <c r="B10" s="6">
        <v>0.044718080522023126</v>
      </c>
    </row>
    <row r="11" spans="1:2" x14ac:dyDescent="0.25">
      <c r="A11" t="s">
        <v>9</v>
      </c>
      <c r="B11" s="6">
        <v>-0.9787878787878788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</v>
      </c>
    </row>
    <row r="14" spans="1:3" x14ac:dyDescent="0.25">
      <c r="A14" t="s">
        <v>12</v>
      </c>
      <c r="B14" s="6">
        <v>0.11387192006762753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0.84523</v>
      </c>
      <c r="C19" s="8" t="s">
        <v>19</v>
      </c>
    </row>
    <row r="20" spans="1:2" x14ac:dyDescent="0.25">
      <c r="A20" t="s">
        <v>20</v>
      </c>
      <c r="B20" s="10">
        <f>B17+B19*B18</f>
        <v>0.09693995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34725101568</v>
      </c>
    </row>
    <row r="23" spans="1:2" x14ac:dyDescent="0.25">
      <c r="A23" t="s">
        <v>24</v>
      </c>
      <c r="B23" s="11">
        <v>10529000000</v>
      </c>
    </row>
    <row r="24" spans="1:2" x14ac:dyDescent="0.25">
      <c r="A24" t="s">
        <v>25</v>
      </c>
      <c r="B24" s="10">
        <f>B22/(B22+B23)</f>
        <v>0.7673360063467651</v>
      </c>
    </row>
    <row r="25" spans="1:2" x14ac:dyDescent="0.25">
      <c r="A25" t="s">
        <v>26</v>
      </c>
      <c r="B25" s="10">
        <f>1-B24</f>
        <v>0.23266399365323487</v>
      </c>
    </row>
    <row r="26" spans="1:2" x14ac:dyDescent="0.25">
      <c r="A26" t="s">
        <v>27</v>
      </c>
      <c r="B26" s="12">
        <f>B24*B20+B25*B21*(1-B8)</f>
        <v>0.08171442988853199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23257000000</v>
      </c>
      <c r="C29" s="8" t="s">
        <v>30</v>
      </c>
    </row>
    <row r="30" spans="1:2" x14ac:dyDescent="0.25">
      <c r="A30" t="s">
        <v>31</v>
      </c>
      <c r="B30" s="11">
        <v>-29570000000</v>
      </c>
    </row>
    <row r="31" spans="1:2" x14ac:dyDescent="0.25">
      <c r="A31" t="s">
        <v>32</v>
      </c>
      <c r="B31" s="13">
        <v>1294736842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0.08357547561951084</v>
      </c>
      <c r="C5" s="10">
        <f>Assumptions!B6</f>
        <v>0.08357547561951084</v>
      </c>
      <c r="D5" s="10">
        <f>Assumptions!B6</f>
        <v>0.08357547561951084</v>
      </c>
      <c r="E5" s="10">
        <f>Assumptions!B6</f>
        <v>0.08357547561951084</v>
      </c>
      <c r="F5" s="10">
        <f>Assumptions!B6</f>
        <v>0.08357547561951084</v>
      </c>
    </row>
    <row r="6" spans="1:6" x14ac:dyDescent="0.25">
      <c r="A6" t="s">
        <v>43</v>
      </c>
      <c r="B6" s="18">
        <f>Assumptions!B29*(1+B5)</f>
        <v>25200714836.482964</v>
      </c>
      <c r="C6" s="18">
        <f>B6*(1+C5)</f>
        <v>27306876564.893692</v>
      </c>
      <c r="D6" s="18">
        <f>C6*(1+D5)</f>
        <v>29589061761.487957</v>
      </c>
      <c r="E6" s="18">
        <f>D6*(1+E5)</f>
        <v>32061981671.339394</v>
      </c>
      <c r="F6" s="18">
        <f>E6*(1+F5)</f>
        <v>34741577038.82562</v>
      </c>
    </row>
    <row r="7" spans="1:6" x14ac:dyDescent="0.25">
      <c r="A7" t="s">
        <v>5</v>
      </c>
      <c r="B7" s="10">
        <f>Assumptions!B7</f>
        <v>0.15027488378937398</v>
      </c>
      <c r="C7" s="10">
        <f>Assumptions!B7</f>
        <v>0.15027488378937398</v>
      </c>
      <c r="D7" s="10">
        <f>Assumptions!B7</f>
        <v>0.15027488378937398</v>
      </c>
      <c r="E7" s="10">
        <f>Assumptions!B7</f>
        <v>0.15027488378937398</v>
      </c>
      <c r="F7" s="10">
        <f>Assumptions!B7</f>
        <v>0.15027488378937398</v>
      </c>
    </row>
    <row r="8" spans="1:6" x14ac:dyDescent="0.25">
      <c r="A8" t="s">
        <v>44</v>
      </c>
      <c r="B8" s="18">
        <f>B6*B7</f>
        <v>3787034493.46163</v>
      </c>
      <c r="C8" s="18">
        <f>C6*C7</f>
        <v>4103537702.4401793</v>
      </c>
      <c r="D8" s="18">
        <f>D6*D7</f>
        <v>4446492817.644212</v>
      </c>
      <c r="E8" s="18">
        <f>E6*E7</f>
        <v>4818110569.717566</v>
      </c>
      <c r="F8" s="18">
        <f>F6*F7</f>
        <v>5220786452.169104</v>
      </c>
    </row>
    <row r="9" spans="1:6" x14ac:dyDescent="0.25">
      <c r="A9" t="s">
        <v>45</v>
      </c>
      <c r="B9" s="18">
        <f>B8*(1-Assumptions!B8)</f>
        <v>2840275870.0962224</v>
      </c>
      <c r="C9" s="18">
        <f>C8*(1-Assumptions!B8)</f>
        <v>3077653276.8301344</v>
      </c>
      <c r="D9" s="18">
        <f>D8*(1-Assumptions!B8)</f>
        <v>3334869613.233159</v>
      </c>
      <c r="E9" s="18">
        <f>E8*(1-Assumptions!B8)</f>
        <v>3613582927.288174</v>
      </c>
      <c r="F9" s="18">
        <f>F8*(1-Assumptions!B8)</f>
        <v>3915589839.1268277</v>
      </c>
    </row>
    <row r="10" spans="1:6" x14ac:dyDescent="0.25">
      <c r="A10" t="s">
        <v>46</v>
      </c>
      <c r="B10" s="18">
        <f>B6*Assumptions!B9</f>
        <v>1079831907.9042776</v>
      </c>
      <c r="C10" s="18">
        <f>C6*Assumptions!B9</f>
        <v>1170079373.1965015</v>
      </c>
      <c r="D10" s="18">
        <f>D6*Assumptions!B9</f>
        <v>1267869313.3239782</v>
      </c>
      <c r="E10" s="18">
        <f>E6*Assumptions!B9</f>
        <v>1373832094.2084124</v>
      </c>
      <c r="F10" s="18">
        <f>F6*Assumptions!B9</f>
        <v>1488650764.903229</v>
      </c>
    </row>
    <row r="11" spans="1:6" x14ac:dyDescent="0.25">
      <c r="A11" t="s">
        <v>47</v>
      </c>
      <c r="B11" s="18">
        <f>-B6*Assumptions!B10</f>
        <v>-1126927595.2703881</v>
      </c>
      <c r="C11" s="18">
        <f>-C6*Assumptions!B10</f>
        <v>-1221111105.0338624</v>
      </c>
      <c r="D11" s="18">
        <f>-D6*Assumptions!B10</f>
        <v>-1323166046.421334</v>
      </c>
      <c r="E11" s="18">
        <f>-E6*Assumptions!B10</f>
        <v>-1433750278.0745847</v>
      </c>
      <c r="F11" s="18">
        <f>-F6*Assumptions!B10</f>
        <v>-1553576639.484274</v>
      </c>
    </row>
    <row r="12" spans="1:6" x14ac:dyDescent="0.25">
      <c r="A12" t="s">
        <v>48</v>
      </c>
      <c r="B12" s="18">
        <f>-(B6-Assumptions!B29)*Assumptions!B11</f>
        <v>1902484521.7696886</v>
      </c>
      <c r="C12" s="18">
        <f>-(C6-B6)*Assumptions!B11</f>
        <v>2061485570.5353494</v>
      </c>
      <c r="D12" s="18">
        <f>-(D6-C6)*Assumptions!B11</f>
        <v>2233775207.5755987</v>
      </c>
      <c r="E12" s="18">
        <f>-(E6-D6)*Assumptions!B11</f>
        <v>2420464032.9758</v>
      </c>
      <c r="F12" s="18">
        <f>-(F6-E6)*Assumptions!B11</f>
        <v>2622755465.7516723</v>
      </c>
    </row>
    <row r="13" spans="1:6" x14ac:dyDescent="0.25">
      <c r="A13" s="19" t="s">
        <v>49</v>
      </c>
      <c r="B13" s="20">
        <f>B9+B10+B11+B12</f>
        <v>4695664704.4998</v>
      </c>
      <c r="C13" s="20">
        <f>C9+C10+C11+C12</f>
        <v>5088107115.528124</v>
      </c>
      <c r="D13" s="20">
        <f>D9+D10+D11+D12</f>
        <v>5513348087.711402</v>
      </c>
      <c r="E13" s="20">
        <f>E9+E10+E11+E12</f>
        <v>5974128776.397802</v>
      </c>
      <c r="F13" s="20">
        <f>F9+F10+F11+F12</f>
        <v>6473419430.297455</v>
      </c>
    </row>
    <row r="14" spans="1:6" x14ac:dyDescent="0.25">
      <c r="A14" t="s">
        <v>50</v>
      </c>
      <c r="B14" s="21">
        <f>1/(1+Assumptions!$B$26)^(1-0.5*Assumptions!$B$32)</f>
        <v>0.9614876016969207</v>
      </c>
      <c r="C14" s="21">
        <f>1/(1+Assumptions!$B$26)^(2-0.5*Assumptions!$B$32)</f>
        <v>0.8888552977850168</v>
      </c>
      <c r="D14" s="21">
        <f>1/(1+Assumptions!$B$26)^(3-0.5*Assumptions!$B$32)</f>
        <v>0.8217097537254923</v>
      </c>
      <c r="E14" s="21">
        <f>1/(1+Assumptions!$B$26)^(4-0.5*Assumptions!$B$32)</f>
        <v>0.7596364909453666</v>
      </c>
      <c r="F14" s="21">
        <f>1/(1+Assumptions!$B$26)^(5-0.5*Assumptions!$B$32)</f>
        <v>0.7022523412428227</v>
      </c>
    </row>
    <row r="15" spans="1:6" x14ac:dyDescent="0.25">
      <c r="A15" s="19" t="s">
        <v>51</v>
      </c>
      <c r="B15" s="20">
        <f>B13*B14</f>
        <v>4514823395.102392</v>
      </c>
      <c r="C15" s="20">
        <f>C13*C14</f>
        <v>4522590965.334813</v>
      </c>
      <c r="D15" s="20">
        <f>D13*D14</f>
        <v>4530371899.35625</v>
      </c>
      <c r="E15" s="20">
        <f>E13*E14</f>
        <v>4538166220.158563</v>
      </c>
      <c r="F15" s="20">
        <f>F13*F14</f>
        <v>4545973950.773167</v>
      </c>
    </row>
    <row r="17" spans="1:2" x14ac:dyDescent="0.25">
      <c r="A17" s="22" t="s">
        <v>52</v>
      </c>
      <c r="B17" s="23">
        <f>SUM(B15:F15)</f>
        <v>22651926430.725185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6473419430.297455</v>
      </c>
    </row>
    <row r="5" spans="1:2" x14ac:dyDescent="0.25">
      <c r="A5" t="s">
        <v>56</v>
      </c>
      <c r="B5" s="18">
        <f>IF(Assumptions!$B$33=0,B4,B4-Forecast!F11-Forecast!F10-Forecast!F12)</f>
        <v>4268448691.886786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0.21954490611164473</v>
      </c>
    </row>
    <row r="7" spans="1:2" x14ac:dyDescent="0.25">
      <c r="A7" t="s">
        <v>58</v>
      </c>
      <c r="B7" s="18">
        <f>-MAX(Forecast!F9,0)*B6</f>
        <v>-937116167.3026572</v>
      </c>
    </row>
    <row r="8" spans="1:2" x14ac:dyDescent="0.25">
      <c r="A8" t="s">
        <v>59</v>
      </c>
      <c r="B8" s="18">
        <f>IF(OR(Assumptions!$B$33=0,Assumptions!B12&lt;=0),B5,MAX(B5+B7,0))</f>
        <v>3331332524.584129</v>
      </c>
    </row>
    <row r="9" spans="1:2" x14ac:dyDescent="0.25">
      <c r="A9" t="s">
        <v>60</v>
      </c>
      <c r="B9" s="18">
        <f>B8*(1+Assumptions!B12)/(Assumptions!B26-Assumptions!B12)</f>
        <v>60207179097.27571</v>
      </c>
    </row>
    <row r="10" spans="1:2" x14ac:dyDescent="0.25">
      <c r="A10" t="s">
        <v>61</v>
      </c>
      <c r="B10" s="18">
        <f>B9/(1+Assumptions!B26)^(5-0.5*Assumptions!B32)</f>
        <v>42280632480.687805</v>
      </c>
    </row>
    <row r="11" spans="1:2" x14ac:dyDescent="0.25">
      <c r="A11" t="s">
        <v>62</v>
      </c>
      <c r="B11" s="18">
        <f>Forecast!B17+B10</f>
        <v>64932558911.412994</v>
      </c>
    </row>
    <row r="12" spans="1:2" x14ac:dyDescent="0.25">
      <c r="A12" t="s">
        <v>63</v>
      </c>
      <c r="B12" s="18">
        <f>-Assumptions!B30</f>
        <v>29570000000</v>
      </c>
    </row>
    <row r="13" spans="1:2" x14ac:dyDescent="0.25">
      <c r="A13" t="s">
        <v>64</v>
      </c>
      <c r="B13" s="18">
        <f>B11+B12</f>
        <v>94502558911.413</v>
      </c>
    </row>
    <row r="14" spans="1:2" x14ac:dyDescent="0.25">
      <c r="A14" s="19" t="s">
        <v>65</v>
      </c>
      <c r="B14" s="24">
        <f>B13/Assumptions!B31</f>
        <v>72.98978127897668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6709437217.072332</v>
      </c>
    </row>
    <row r="18" spans="1:2" x14ac:dyDescent="0.25">
      <c r="A18" t="s">
        <v>60</v>
      </c>
      <c r="B18" s="18">
        <f>B17*Assumptions!B13</f>
        <v>20128311651.216995</v>
      </c>
    </row>
    <row r="19" spans="1:2" x14ac:dyDescent="0.25">
      <c r="A19" t="s">
        <v>61</v>
      </c>
      <c r="B19" s="18">
        <f>B18/(1+Assumptions!B26)^(5-0.5*Assumptions!B32)</f>
        <v>14135153982.332321</v>
      </c>
    </row>
    <row r="20" spans="1:2" x14ac:dyDescent="0.25">
      <c r="A20" t="s">
        <v>62</v>
      </c>
      <c r="B20" s="18">
        <f>Forecast!B17+B19</f>
        <v>36787080413.05751</v>
      </c>
    </row>
    <row r="21" spans="1:2" x14ac:dyDescent="0.25">
      <c r="A21" t="s">
        <v>63</v>
      </c>
      <c r="B21" s="18">
        <f>-Assumptions!B30</f>
        <v>29570000000</v>
      </c>
    </row>
    <row r="22" spans="1:2" x14ac:dyDescent="0.25">
      <c r="A22" t="s">
        <v>64</v>
      </c>
      <c r="B22" s="18">
        <f>B20+B21</f>
        <v>66357080413.05751</v>
      </c>
    </row>
    <row r="23" spans="1:2" x14ac:dyDescent="0.25">
      <c r="A23" s="19" t="s">
        <v>65</v>
      </c>
      <c r="B23" s="25">
        <f>B22/Assumptions!B31</f>
        <v>51.25140357522746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26.89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72.98978127897668</v>
      </c>
    </row>
    <row r="29" spans="1:2" x14ac:dyDescent="0.25">
      <c r="A29" s="19" t="s">
        <v>73</v>
      </c>
      <c r="B29" s="12">
        <f>B28/B26-1</f>
        <v>1.7143838333572585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0.061714</v>
      </c>
      <c r="B5" s="31">
        <v>88.68115860244028</v>
      </c>
      <c r="C5" s="31">
        <v>91.93372624257549</v>
      </c>
      <c r="D5" s="31">
        <v>96.04209959967153</v>
      </c>
      <c r="E5" s="31">
        <v>101.41105529460282</v>
      </c>
      <c r="F5" s="31">
        <v>108.74841450980291</v>
      </c>
    </row>
    <row r="6" spans="1:6" x14ac:dyDescent="0.25">
      <c r="A6" s="30">
        <v>0.071714</v>
      </c>
      <c r="B6" s="31">
        <v>78.25871930353537</v>
      </c>
      <c r="C6" s="31">
        <v>79.99756553336545</v>
      </c>
      <c r="D6" s="31">
        <v>82.08595384274095</v>
      </c>
      <c r="E6" s="31">
        <v>84.64957659377488</v>
      </c>
      <c r="F6" s="31">
        <v>87.88259722888365</v>
      </c>
    </row>
    <row r="7" spans="1:6" x14ac:dyDescent="0.25">
      <c r="A7" s="30">
        <v>0.081714</v>
      </c>
      <c r="B7" s="31">
        <v>70.9175772450264</v>
      </c>
      <c r="C7" s="31">
        <v>71.87812010384599</v>
      </c>
      <c r="D7" s="32">
        <v>72.99010461476755</v>
      </c>
      <c r="E7" s="31">
        <v>74.29745746653165</v>
      </c>
      <c r="F7" s="31">
        <v>75.86291199631</v>
      </c>
    </row>
    <row r="8" spans="1:6" x14ac:dyDescent="0.25">
      <c r="A8" s="30">
        <v>0.091714</v>
      </c>
      <c r="B8" s="31">
        <v>65.45502249452164</v>
      </c>
      <c r="C8" s="31">
        <v>65.98141134938074</v>
      </c>
      <c r="D8" s="31">
        <v>66.57208292897825</v>
      </c>
      <c r="E8" s="31">
        <v>67.242661579023</v>
      </c>
      <c r="F8" s="31">
        <v>68.01428151781575</v>
      </c>
    </row>
    <row r="9" spans="1:6" x14ac:dyDescent="0.25">
      <c r="A9" s="30">
        <v>0.101714</v>
      </c>
      <c r="B9" s="31">
        <v>61.223000823565286</v>
      </c>
      <c r="C9" s="31">
        <v>61.49357267018661</v>
      </c>
      <c r="D9" s="31">
        <v>61.78721198053437</v>
      </c>
      <c r="E9" s="31">
        <v>62.10874364174213</v>
      </c>
      <c r="F9" s="31">
        <v>62.464438980111716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23257000000</v>
      </c>
      <c r="C5" s="18">
        <v>22535000000</v>
      </c>
      <c r="D5" s="18">
        <v>20590000000</v>
      </c>
      <c r="E5" s="18">
        <v>18280000000</v>
      </c>
      <c r="F5" s="8" t="s">
        <v>84</v>
      </c>
    </row>
    <row r="6" spans="1:6" x14ac:dyDescent="0.25">
      <c r="A6" t="s">
        <v>44</v>
      </c>
      <c r="B6" s="18">
        <v>3626000000</v>
      </c>
      <c r="C6" s="18">
        <v>3362000000</v>
      </c>
      <c r="D6" s="18">
        <v>3005000000</v>
      </c>
      <c r="E6" s="18">
        <v>2743000000</v>
      </c>
      <c r="F6" s="8" t="s">
        <v>85</v>
      </c>
    </row>
    <row r="7" spans="1:6" x14ac:dyDescent="0.25">
      <c r="A7" t="s">
        <v>86</v>
      </c>
      <c r="B7" s="18">
        <v>986000000</v>
      </c>
      <c r="C7" s="18">
        <v>924000000</v>
      </c>
      <c r="D7" s="18">
        <v>877000000</v>
      </c>
      <c r="E7" s="18">
        <v>830000000</v>
      </c>
      <c r="F7" s="8" t="s">
        <v>87</v>
      </c>
    </row>
    <row r="8" spans="1:6" x14ac:dyDescent="0.25">
      <c r="A8" t="s">
        <v>88</v>
      </c>
      <c r="B8" s="18">
        <v>1178000000</v>
      </c>
      <c r="C8" s="18">
        <v>965000000</v>
      </c>
      <c r="D8" s="18">
        <v>846000000</v>
      </c>
      <c r="E8" s="18">
        <v>810000000</v>
      </c>
      <c r="F8" s="8" t="s">
        <v>89</v>
      </c>
    </row>
    <row r="9" spans="1:6" x14ac:dyDescent="0.25">
      <c r="A9" t="s">
        <v>90</v>
      </c>
      <c r="B9" s="18">
        <v>-153000000</v>
      </c>
      <c r="C9" s="18">
        <v>-1933000000</v>
      </c>
      <c r="D9" s="18">
        <v>-2261000000</v>
      </c>
      <c r="E9" s="18">
        <v>6306000000</v>
      </c>
      <c r="F9" s="8" t="s">
        <v>91</v>
      </c>
    </row>
    <row r="10" spans="1:6" x14ac:dyDescent="0.25">
      <c r="A10" t="s">
        <v>92</v>
      </c>
      <c r="B10" s="18">
        <v>10529000000</v>
      </c>
      <c r="C10" s="18">
        <v>9502000000</v>
      </c>
      <c r="D10" s="18">
        <v>11513000000</v>
      </c>
      <c r="E10" s="18">
        <v>13406000000</v>
      </c>
      <c r="F10" s="8" t="s">
        <v>93</v>
      </c>
    </row>
    <row r="11" spans="1:6" x14ac:dyDescent="0.25">
      <c r="A11" t="s">
        <v>94</v>
      </c>
      <c r="B11" s="18">
        <v>40099000000</v>
      </c>
      <c r="C11" s="18">
        <v>43242000000</v>
      </c>
      <c r="D11" s="18">
        <v>40309000000</v>
      </c>
      <c r="E11" s="18">
        <v>44777000000</v>
      </c>
      <c r="F11" s="8" t="s">
        <v>95</v>
      </c>
    </row>
    <row r="12" spans="1:6" x14ac:dyDescent="0.25">
      <c r="A12" t="s">
        <v>32</v>
      </c>
      <c r="B12" s="34">
        <v>1294736842</v>
      </c>
      <c r="C12" s="34">
        <v>1294805195</v>
      </c>
      <c r="D12" s="34">
        <v>1296021578</v>
      </c>
      <c r="E12" s="34">
        <v>1299835255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2026-09-19T00:07:06Z</dcterms:modified>
</cp:coreProperties>
</file>