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<sst xmlns="http://schemas.openxmlformats.org/spreadsheetml/2006/main" count="119" uniqueCount="106">
  <si>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Phillips 66 (PSX)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</si>
  <si>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</si>
  <si>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</si>
  <si>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</si>
  <si>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</si>
  <si>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</si>
  <si>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</si>
  <si>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</si>
  <si>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</si>
  <si>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</si>
  <si>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</si>
  <si>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</si>
  <si>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</si>
  <si>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</si>
  <si>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</si>
  <si>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</si>
  <si>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</si>
  <si>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</si>
  <si>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</si>
  <si>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</si>
  <si>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</si>
  <si>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</si>
  <si>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</si>
  <si>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</si>
  <si>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3.1x interest cover. Book interest / average debt was lower, at 5.5%.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</si>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</sst>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0.27386553476460995</v>
      </c>
    </row>
    <row r="7" spans="1:2" x14ac:dyDescent="0.25">
      <c r="A7" t="s">
        <v>4</v>
      </c>
      <c r="B7" s="5">
        <v>0.03706610632839338</v>
      </c>
    </row>
    <row r="8" spans="1:2" x14ac:dyDescent="0.25">
      <c r="A8" t="s">
        <v>5</v>
      </c>
      <c r="B8" s="5">
        <v>0.20439448330633891</v>
      </c>
    </row>
    <row r="9" spans="1:2" x14ac:dyDescent="0.25">
      <c r="A9" t="s">
        <v>6</v>
      </c>
      <c r="B9" s="5">
        <v>0.01601528437001413</v>
      </c>
    </row>
    <row r="10" spans="1:3" x14ac:dyDescent="0.25">
      <c r="A10" t="s">
        <v>7</v>
      </c>
      <c r="B10" s="5">
        <v>0.013895359679855869</v>
      </c>
      <c r="C10" s="6" t="s">
        <v>8</v>
      </c>
    </row>
    <row r="11" spans="1:2" x14ac:dyDescent="0.25">
      <c r="A11" t="s">
        <v>9</v>
      </c>
      <c r="B11" s="5">
        <v>0.032032498682595965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19.43970964535585</v>
      </c>
    </row>
    <row r="14" spans="1:3" x14ac:dyDescent="0.25">
      <c r="A14" t="s">
        <v>12</v>
      </c>
      <c r="B14" s="5">
        <v>0.09087989624309195</v>
      </c>
      <c r="C14" s="6" t="s">
        <v>13</v>
      </c>
    </row>
    <row r="15" spans="1:3" x14ac:dyDescent="0.25">
      <c r="A15" t="s">
        <v>14</v>
      </c>
      <c r="B15" s="5">
        <v>0.01601528437001413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0.7996699999999999</v>
      </c>
      <c r="C19" s="6" t="s">
        <v>21</v>
      </c>
    </row>
    <row r="20" spans="1:2" x14ac:dyDescent="0.25">
      <c r="A20" t="s">
        <v>22</v>
      </c>
      <c r="B20" s="9">
        <f>B17+B19*B18</f>
        <v>0.082766041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110324154368</v>
      </c>
    </row>
    <row r="23" spans="1:2" x14ac:dyDescent="0.25">
      <c r="A23" t="s">
        <v>26</v>
      </c>
      <c r="B23" s="10">
        <v>19716000000</v>
      </c>
    </row>
    <row r="24" spans="1:2" x14ac:dyDescent="0.25">
      <c r="A24" t="s">
        <v>27</v>
      </c>
      <c r="B24" s="9">
        <f>B22/(B22+B23)</f>
        <v>0.8483852922520702</v>
      </c>
    </row>
    <row r="25" spans="1:2" x14ac:dyDescent="0.25">
      <c r="A25" t="s">
        <v>28</v>
      </c>
      <c r="B25" s="9">
        <f>1-B24</f>
        <v>0.15161470774792984</v>
      </c>
    </row>
    <row r="26" spans="1:2" x14ac:dyDescent="0.25">
      <c r="A26" t="s">
        <v>29</v>
      </c>
      <c r="B26" s="11">
        <f>B24*B20+B25*B21*(1-B8)</f>
        <v>0.07719447068064515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132376000000</v>
      </c>
      <c r="C29" s="6" t="s">
        <v>32</v>
      </c>
    </row>
    <row r="30" spans="1:2" x14ac:dyDescent="0.25">
      <c r="A30" t="s">
        <v>33</v>
      </c>
      <c r="B30" s="10">
        <v>18600000000</v>
      </c>
    </row>
    <row r="31" spans="1:2" x14ac:dyDescent="0.25">
      <c r="A31" t="s">
        <v>34</v>
      </c>
      <c r="B31" s="12">
        <v>408053000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0.27386553476460995</v>
      </c>
      <c r="C5" s="5">
        <v>-0.07615613167807334</v>
      </c>
      <c r="D5" s="5">
        <v>-0.06351161521831417</v>
      </c>
      <c r="E5" s="5">
        <v>-0.050867098758555</v>
      </c>
      <c r="F5" s="5">
        <v>-0.03822258229879584</v>
      </c>
      <c r="G5" s="5">
        <v>-0.02557806583903667</v>
      </c>
      <c r="H5" s="5">
        <v>-0.0129335493792775</v>
      </c>
      <c r="I5" s="5">
        <v>-0.000289032919518345</v>
      </c>
      <c r="J5" s="5">
        <v>0.012355483540240825</v>
      </c>
      <c r="K5" s="5">
        <v>0.024999999999999994</v>
      </c>
    </row>
    <row r="6" spans="1:11" x14ac:dyDescent="0.25">
      <c r="A6" t="s">
        <v>50</v>
      </c>
      <c r="B6" s="18">
        <f>Assumptions!B29*(1+B5)</f>
        <v>168629224030</v>
      </c>
      <c r="C6" s="18">
        <f>B6*(1+C5)</f>
        <v>155787074640</v>
      </c>
      <c r="D6" s="18">
        <f>C6*(1+D5)</f>
        <v>145892785899.47754</v>
      </c>
      <c r="E6" s="18">
        <f>D6*(1+E5)</f>
        <v>138471643150.9681</v>
      </c>
      <c r="F6" s="18">
        <f>E6*(1+F5)</f>
        <v>133178899374.58075</v>
      </c>
      <c r="G6" s="18">
        <f>F6*(1+G5)</f>
        <v>129772440718.00728</v>
      </c>
      <c r="H6" s="18">
        <f>G6*(1+H5)</f>
        <v>128094022447.91158</v>
      </c>
      <c r="I6" s="18">
        <f>H6*(1+I5)</f>
        <v>128056999058.63062</v>
      </c>
      <c r="J6" s="18">
        <f>I6*(1+J5)</f>
        <v>129639205202.71216</v>
      </c>
      <c r="K6" s="18">
        <f>J6*(1+K5)</f>
        <v>132880185332.77995</v>
      </c>
    </row>
    <row r="7" spans="1:11" x14ac:dyDescent="0.25">
      <c r="A7" t="s">
        <v>4</v>
      </c>
      <c r="B7" s="9">
        <f>Assumptions!B7</f>
        <v>0.03706610632839338</v>
      </c>
      <c r="C7" s="9">
        <f>Assumptions!B7</f>
        <v>0.03706610632839338</v>
      </c>
      <c r="D7" s="9">
        <f>Assumptions!B7</f>
        <v>0.03706610632839338</v>
      </c>
      <c r="E7" s="9">
        <f>Assumptions!B7</f>
        <v>0.03706610632839338</v>
      </c>
      <c r="F7" s="9">
        <f>Assumptions!B7</f>
        <v>0.03706610632839338</v>
      </c>
      <c r="G7" s="9">
        <f>Assumptions!B7</f>
        <v>0.03706610632839338</v>
      </c>
      <c r="H7" s="9">
        <f>Assumptions!B7</f>
        <v>0.03706610632839338</v>
      </c>
      <c r="I7" s="9">
        <f>Assumptions!B7</f>
        <v>0.03706610632839338</v>
      </c>
      <c r="J7" s="9">
        <f>Assumptions!B7</f>
        <v>0.03706610632839338</v>
      </c>
      <c r="K7" s="9">
        <f>Assumptions!B7</f>
        <v>0.03706610632839338</v>
      </c>
    </row>
    <row r="8" spans="1:11" x14ac:dyDescent="0.25">
      <c r="A8" t="s">
        <v>51</v>
      </c>
      <c r="B8" s="18">
        <f>B6*B7</f>
        <v>6250428747.9704485</v>
      </c>
      <c r="C8" s="18">
        <f>C6*C7</f>
        <v>5774420273.195597</v>
      </c>
      <c r="D8" s="18">
        <f>D6*D7</f>
        <v>5407677514.695565</v>
      </c>
      <c r="E8" s="18">
        <f>E6*E7</f>
        <v>5132604648.501129</v>
      </c>
      <c r="F8" s="18">
        <f>F6*F7</f>
        <v>4936423244.916614</v>
      </c>
      <c r="G8" s="18">
        <f>G6*G7</f>
        <v>4810159086.148785</v>
      </c>
      <c r="H8" s="18">
        <f>H6*H7</f>
        <v>4747946656.085899</v>
      </c>
      <c r="I8" s="18">
        <f>I6*I7</f>
        <v>4746574343.202174</v>
      </c>
      <c r="J8" s="18">
        <f>J6*J7</f>
        <v>4805220564.372138</v>
      </c>
      <c r="K8" s="18">
        <f>K6*K7</f>
        <v>4925351078.481441</v>
      </c>
    </row>
    <row r="9" spans="1:11" x14ac:dyDescent="0.25">
      <c r="A9" t="s">
        <v>52</v>
      </c>
      <c r="B9" s="18">
        <f>B8*(1-Assumptions!B8)</f>
        <v>4972875593.585942</v>
      </c>
      <c r="C9" s="18">
        <f>C8*(1-Assumptions!B8)</f>
        <v>4594160625.062135</v>
      </c>
      <c r="D9" s="18">
        <f>D8*(1-Assumptions!B8)</f>
        <v>4302378063.192059</v>
      </c>
      <c r="E9" s="18">
        <f>E8*(1-Assumptions!B8)</f>
        <v>4083528573.3550277</v>
      </c>
      <c r="F9" s="18">
        <f>F8*(1-Assumptions!B8)</f>
        <v>3927445566.3904815</v>
      </c>
      <c r="G9" s="18">
        <f>G8*(1-Assumptions!B8)</f>
        <v>3826989105.1141124</v>
      </c>
      <c r="H9" s="18">
        <f>H8*(1-Assumptions!B8)</f>
        <v>3777492552.5491624</v>
      </c>
      <c r="I9" s="18">
        <f>I8*(1-Assumptions!B8)</f>
        <v>3776400732.848241</v>
      </c>
      <c r="J9" s="18">
        <f>J8*(1-Assumptions!B8)</f>
        <v>3823059989.9443007</v>
      </c>
      <c r="K9" s="18">
        <f>K8*(1-Assumptions!B8)</f>
        <v>3918636489.6929073</v>
      </c>
    </row>
    <row r="10" spans="1:11" x14ac:dyDescent="0.25">
      <c r="A10" t="s">
        <v>53</v>
      </c>
      <c r="B10" s="18">
        <f>B6*Assumptions!B9</f>
        <v>2700644975.9352703</v>
      </c>
      <c r="C10" s="18">
        <f>C6*Assumptions!B9</f>
        <v>2494974301.532217</v>
      </c>
      <c r="D10" s="18">
        <f>D6*Assumptions!B9</f>
        <v>2336514453.713721</v>
      </c>
      <c r="E10" s="18">
        <f>E6*Assumptions!B9</f>
        <v>2217662742.245874</v>
      </c>
      <c r="F10" s="18">
        <f>F6*Assumptions!B9</f>
        <v>2132897945.569408</v>
      </c>
      <c r="G10" s="18">
        <f>G6*Assumptions!B9</f>
        <v>2078342541.4896874</v>
      </c>
      <c r="H10" s="18">
        <f>H6*Assumptions!B9</f>
        <v>2051462195.6022775</v>
      </c>
      <c r="I10" s="18">
        <f>I6*Assumptions!B9</f>
        <v>2050869255.4946012</v>
      </c>
      <c r="J10" s="18">
        <f>J6*Assumptions!B9</f>
        <v>2076208736.8240507</v>
      </c>
      <c r="K10" s="18">
        <f>K6*Assumptions!B9</f>
        <v>2128113955.2446518</v>
      </c>
    </row>
    <row r="11" spans="1:11" x14ac:dyDescent="0.25">
      <c r="A11" t="s">
        <v>54</v>
      </c>
      <c r="B11" s="18">
        <f>-B6*B19</f>
        <v>-2343163720.431844</v>
      </c>
      <c r="C11" s="18">
        <f>-C6*C19</f>
        <v>-2341834868.511627</v>
      </c>
      <c r="D11" s="18">
        <f>-D6*D19</f>
        <v>-2358969572.106326</v>
      </c>
      <c r="E11" s="18">
        <f>-E6*E19</f>
        <v>-2396406807.348675</v>
      </c>
      <c r="F11" s="18">
        <f>-F6*F19</f>
        <v>-2456223698.3854837</v>
      </c>
      <c r="G11" s="18">
        <f>-G6*G19</f>
        <v>-2540939123.563601</v>
      </c>
      <c r="H11" s="18">
        <f>-H6*H19</f>
        <v>-2653708411.376451</v>
      </c>
      <c r="I11" s="18">
        <f>-I6*I19</f>
        <v>-2798531959.094115</v>
      </c>
      <c r="J11" s="18">
        <f>-J6*J19</f>
        <v>-2980498573.187142</v>
      </c>
      <c r="K11" s="18">
        <f>-K6*K19</f>
        <v>-3206085171.015812</v>
      </c>
    </row>
    <row r="12" spans="1:11" x14ac:dyDescent="0.25">
      <c r="A12" t="s">
        <v>55</v>
      </c>
      <c r="B12" s="18">
        <f>-(B6-Assumptions!B29)*Assumptions!B11</f>
        <v>-1161281350.9808314</v>
      </c>
      <c r="C12" s="18">
        <f>-(C6-B6)*Assumptions!B11</f>
        <v>411366133.4168756</v>
      </c>
      <c r="D12" s="18">
        <f>-(D6-C6)*Assumptions!B11</f>
        <v>316938791.04600984</v>
      </c>
      <c r="E12" s="18">
        <f>-(E6-D6)*Assumptions!B11</f>
        <v>237717745.31498492</v>
      </c>
      <c r="F12" s="18">
        <f>-(F6-E6)*Assumptions!B11</f>
        <v>169539808.04444608</v>
      </c>
      <c r="G12" s="18">
        <f>-(G6-F6)*Assumptions!B11</f>
        <v>109117382.42900734</v>
      </c>
      <c r="H12" s="18">
        <f>-(H6-G6)*Assumptions!B11</f>
        <v>53763931.02568561</v>
      </c>
      <c r="I12" s="18">
        <f>-(I6-H6)*Assumptions!B11</f>
        <v>1185951.6683675915</v>
      </c>
      <c r="J12" s="18">
        <f>-(J6-I6)*Assumptions!B11</f>
        <v>-50682016.22588727</v>
      </c>
      <c r="K12" s="18">
        <f>-(K6-J6)*Assumptions!B11</f>
        <v>-103816691.74671634</v>
      </c>
    </row>
    <row r="13" spans="1:11" x14ac:dyDescent="0.25">
      <c r="A13" s="19" t="s">
        <v>56</v>
      </c>
      <c r="B13" s="20">
        <f>B9+B10+B11+B12</f>
        <v>4169075498.1085377</v>
      </c>
      <c r="C13" s="20">
        <f>C9+C10+C11+C12</f>
        <v>5158666191.4996</v>
      </c>
      <c r="D13" s="20">
        <f>D9+D10+D11+D12</f>
        <v>4596861735.845463</v>
      </c>
      <c r="E13" s="20">
        <f>E9+E10+E11+E12</f>
        <v>4142502253.5672116</v>
      </c>
      <c r="F13" s="20">
        <f>F9+F10+F11+F12</f>
        <v>3773659621.6188517</v>
      </c>
      <c r="G13" s="20">
        <f>G9+G10+G11+G12</f>
        <v>3473509905.4692063</v>
      </c>
      <c r="H13" s="20">
        <f>H9+H10+H11+H12</f>
        <v>3229010267.8006744</v>
      </c>
      <c r="I13" s="20">
        <f>I9+I10+I11+I12</f>
        <v>3029923980.9170947</v>
      </c>
      <c r="J13" s="20">
        <f>J9+J10+J11+J12</f>
        <v>2868088137.3553224</v>
      </c>
      <c r="K13" s="20">
        <f>K9+K10+K11+K12</f>
        <v>2736848582.1750307</v>
      </c>
    </row>
    <row r="14" spans="1:11" x14ac:dyDescent="0.25">
      <c r="A14" t="s">
        <v>57</v>
      </c>
      <c r="B14" s="21">
        <f>1/(1+Assumptions!$B$26)^(1-0.5*Assumptions!$B$32)</f>
        <v>0.9635027138756499</v>
      </c>
      <c r="C14" s="21">
        <f>1/(1+Assumptions!$B$26)^(2-0.5*Assumptions!$B$32)</f>
        <v>0.8944556810311542</v>
      </c>
      <c r="D14" s="21">
        <f>1/(1+Assumptions!$B$26)^(3-0.5*Assumptions!$B$32)</f>
        <v>0.830356732583278</v>
      </c>
      <c r="E14" s="21">
        <f>1/(1+Assumptions!$B$26)^(4-0.5*Assumptions!$B$32)</f>
        <v>0.7708512763332342</v>
      </c>
      <c r="F14" s="21">
        <f>1/(1+Assumptions!$B$26)^(5-0.5*Assumptions!$B$32)</f>
        <v>0.7156101310528987</v>
      </c>
      <c r="G14" s="21">
        <f>1/(1+Assumptions!$B$26)^(6-0.5*Assumptions!$B$32)</f>
        <v>0.6643277054706076</v>
      </c>
      <c r="H14" s="21">
        <f>1/(1+Assumptions!$B$26)^(7-0.5*Assumptions!$B$32)</f>
        <v>0.6167203077554232</v>
      </c>
      <c r="I14" s="21">
        <f>1/(1+Assumptions!$B$26)^(8-0.5*Assumptions!$B$32)</f>
        <v>0.5725245761480164</v>
      </c>
      <c r="J14" s="21">
        <f>1/(1+Assumptions!$B$26)^(9-0.5*Assumptions!$B$32)</f>
        <v>0.5314960220564967</v>
      </c>
      <c r="K14" s="21">
        <f>1/(1+Assumptions!$B$26)^(10-0.5*Assumptions!$B$32)</f>
        <v>0.49340767755766624</v>
      </c>
    </row>
    <row r="15" spans="1:11" x14ac:dyDescent="0.25">
      <c r="A15" s="19" t="s">
        <v>58</v>
      </c>
      <c r="B15" s="20">
        <f>B13*B14</f>
        <v>4016915556.780053</v>
      </c>
      <c r="C15" s="20">
        <f>C13*C14</f>
        <v>4614198281.530166</v>
      </c>
      <c r="D15" s="20">
        <f>D13*D14</f>
        <v>3817035091.1137342</v>
      </c>
      <c r="E15" s="20">
        <f>E13*E14</f>
        <v>3193253149.375584</v>
      </c>
      <c r="F15" s="20">
        <f>F13*F14</f>
        <v>2700469056.3756986</v>
      </c>
      <c r="G15" s="20">
        <f>G13*G14</f>
        <v>2307548865.429785</v>
      </c>
      <c r="H15" s="20">
        <f>H13*H14</f>
        <v>1991396206.1034534</v>
      </c>
      <c r="I15" s="20">
        <f>I13*I14</f>
        <v>1734705942.9352703</v>
      </c>
      <c r="J15" s="20">
        <f>J13*J14</f>
        <v>1524377435.911781</v>
      </c>
      <c r="K15" s="20">
        <f>K13*K14</f>
        <v>1350382102.7579737</v>
      </c>
    </row>
    <row r="17" spans="1:2" x14ac:dyDescent="0.25">
      <c r="A17" s="22" t="s">
        <v>59</v>
      </c>
      <c r="B17" s="23">
        <f>SUM(B15:K15)</f>
        <v>27250281688.3135</v>
      </c>
    </row>
    <row r="19" spans="1:11" x14ac:dyDescent="0.25">
      <c r="A19" t="s">
        <v>7</v>
      </c>
      <c r="B19" s="9">
        <f>Assumptions!$B$10+($B$20-Assumptions!$B$10)*0/9</f>
        <v>0.013895359679855869</v>
      </c>
      <c r="C19" s="9">
        <f>Assumptions!$B$10+($B$20-Assumptions!$B$10)*1/9</f>
        <v>0.015032279628610062</v>
      </c>
      <c r="D19" s="9">
        <f>Assumptions!$B$10+($B$20-Assumptions!$B$10)*2/9</f>
        <v>0.016169199577364256</v>
      </c>
      <c r="E19" s="9">
        <f>Assumptions!$B$10+($B$20-Assumptions!$B$10)*3/9</f>
        <v>0.017306119526118446</v>
      </c>
      <c r="F19" s="9">
        <f>Assumptions!$B$10+($B$20-Assumptions!$B$10)*4/9</f>
        <v>0.01844303947487264</v>
      </c>
      <c r="G19" s="9">
        <f>Assumptions!$B$10+($B$20-Assumptions!$B$10)*5/9</f>
        <v>0.019579959423626832</v>
      </c>
      <c r="H19" s="9">
        <f>Assumptions!$B$10+($B$20-Assumptions!$B$10)*6/9</f>
        <v>0.020716879372381022</v>
      </c>
      <c r="I19" s="9">
        <f>Assumptions!$B$10+($B$20-Assumptions!$B$10)*7/9</f>
        <v>0.021853799321135216</v>
      </c>
      <c r="J19" s="9">
        <f>Assumptions!$B$10+($B$20-Assumptions!$B$10)*8/9</f>
        <v>0.02299071926988941</v>
      </c>
      <c r="K19" s="9">
        <f>Assumptions!$B$10+($B$20-Assumptions!$B$10)*9/9</f>
        <v>0.024127639218643603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0.024127639218643603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2736848582.1750307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3918636489.6929073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0.27508834223498935</v>
      </c>
    </row>
    <row r="7" spans="1:2" x14ac:dyDescent="0.25">
      <c r="A7" t="s">
        <v>66</v>
      </c>
      <c r="B7" s="18">
        <f>-MAX(B5,0)*B6</f>
        <v>-1077971215.77116</v>
      </c>
    </row>
    <row r="8" spans="1:2" x14ac:dyDescent="0.25">
      <c r="A8" t="s">
        <v>67</v>
      </c>
      <c r="B8" s="18">
        <f>IF(OR(Assumptions!$B$33=0,Assumptions!B12&lt;=0),B5,MAX(B5+B7,0))</f>
        <v>2840665273.921747</v>
      </c>
    </row>
    <row r="9" spans="1:2" x14ac:dyDescent="0.25">
      <c r="A9" t="s">
        <v>68</v>
      </c>
      <c r="B9" s="18">
        <f>B8*(1+Assumptions!B12)/(Assumptions!B26-Assumptions!B12)</f>
        <v>55785255943.777695</v>
      </c>
    </row>
    <row r="10" spans="1:2" x14ac:dyDescent="0.25">
      <c r="A10" t="s">
        <v>69</v>
      </c>
      <c r="B10" s="18">
        <f>B9/(1+Assumptions!B26)^(10-0.5*Assumptions!B32)</f>
        <v>27524873577.179348</v>
      </c>
    </row>
    <row r="11" spans="1:2" x14ac:dyDescent="0.25">
      <c r="A11" t="s">
        <v>70</v>
      </c>
      <c r="B11" s="18">
        <f>Forecast!B17+B10</f>
        <v>54775155265.49284</v>
      </c>
    </row>
    <row r="12" spans="1:2" x14ac:dyDescent="0.25">
      <c r="A12" t="s">
        <v>71</v>
      </c>
      <c r="B12" s="18">
        <f>-Assumptions!B30</f>
        <v>-18600000000</v>
      </c>
    </row>
    <row r="13" spans="1:2" x14ac:dyDescent="0.25">
      <c r="A13" t="s">
        <v>72</v>
      </c>
      <c r="B13" s="18">
        <f>B11+B12</f>
        <v>36175155265.49284</v>
      </c>
    </row>
    <row r="14" spans="1:2" x14ac:dyDescent="0.25">
      <c r="A14" s="19" t="s">
        <v>73</v>
      </c>
      <c r="B14" s="24">
        <f>B13/Assumptions!B31</f>
        <v>88.65308003002758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7053465033.726092</v>
      </c>
    </row>
    <row r="18" spans="1:2" x14ac:dyDescent="0.25">
      <c r="A18" t="s">
        <v>68</v>
      </c>
      <c r="B18" s="18">
        <f>B17*Assumptions!B13</f>
        <v>137117312249.30534</v>
      </c>
    </row>
    <row r="19" spans="1:2" x14ac:dyDescent="0.25">
      <c r="A19" t="s">
        <v>69</v>
      </c>
      <c r="B19" s="18">
        <f>B18/(1+Assumptions!B26)^(10-0.5*Assumptions!B32)</f>
        <v>67654734589.87909</v>
      </c>
    </row>
    <row r="20" spans="1:2" x14ac:dyDescent="0.25">
      <c r="A20" t="s">
        <v>70</v>
      </c>
      <c r="B20" s="18">
        <f>Forecast!B17+B19</f>
        <v>94905016278.1926</v>
      </c>
    </row>
    <row r="21" spans="1:2" x14ac:dyDescent="0.25">
      <c r="A21" t="s">
        <v>71</v>
      </c>
      <c r="B21" s="18">
        <f>-Assumptions!B30</f>
        <v>-18600000000</v>
      </c>
    </row>
    <row r="22" spans="1:2" x14ac:dyDescent="0.25">
      <c r="A22" t="s">
        <v>72</v>
      </c>
      <c r="B22" s="18">
        <f>B20+B21</f>
        <v>76305016278.1926</v>
      </c>
    </row>
    <row r="23" spans="1:2" x14ac:dyDescent="0.25">
      <c r="A23" s="19" t="s">
        <v>73</v>
      </c>
      <c r="B23" s="25">
        <f>B22/Assumptions!B31</f>
        <v>186.99780733922455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282.83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88.65308003002758</v>
      </c>
    </row>
    <row r="29" spans="1:2" x14ac:dyDescent="0.25">
      <c r="A29" s="19" t="s">
        <v>81</v>
      </c>
      <c r="B29" s="11">
        <f>B28/B26-1</f>
        <v>-0.6865499415549001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0.057194</v>
      </c>
      <c r="B5" s="31">
        <v>143.70087387740278</v>
      </c>
      <c r="C5" s="31">
        <v>149.2654486413632</v>
      </c>
      <c r="D5" s="31">
        <v>157.02563393219137</v>
      </c>
      <c r="E5" s="31">
        <v>168.1925115290672</v>
      </c>
      <c r="F5" s="31">
        <v>185.06852283915984</v>
      </c>
    </row>
    <row r="6" spans="1:6" x14ac:dyDescent="0.25">
      <c r="A6" s="30">
        <v>0.067194</v>
      </c>
      <c r="B6" s="31">
        <v>111.17475833310668</v>
      </c>
      <c r="C6" s="31">
        <v>112.6742631643698</v>
      </c>
      <c r="D6" s="31">
        <v>114.86652935058076</v>
      </c>
      <c r="E6" s="31">
        <v>118.03094120975383</v>
      </c>
      <c r="F6" s="31">
        <v>122.62044603313682</v>
      </c>
    </row>
    <row r="7" spans="1:6" x14ac:dyDescent="0.25">
      <c r="A7" s="30">
        <v>0.077194</v>
      </c>
      <c r="B7" s="31">
        <v>88.98341041850205</v>
      </c>
      <c r="C7" s="31">
        <v>88.71524492558163</v>
      </c>
      <c r="D7" s="32">
        <v>88.65408208870916</v>
      </c>
      <c r="E7" s="31">
        <v>88.8657150138032</v>
      </c>
      <c r="F7" s="31">
        <v>89.44712280759688</v>
      </c>
    </row>
    <row r="8" spans="1:6" x14ac:dyDescent="0.25">
      <c r="A8" s="30">
        <v>0.087194</v>
      </c>
      <c r="B8" s="31">
        <v>72.83888570367435</v>
      </c>
      <c r="C8" s="31">
        <v>71.75741803848157</v>
      </c>
      <c r="D8" s="31">
        <v>70.70766602954396</v>
      </c>
      <c r="E8" s="31">
        <v>69.69794759209438</v>
      </c>
      <c r="F8" s="31">
        <v>68.73976794842505</v>
      </c>
    </row>
    <row r="9" spans="1:6" x14ac:dyDescent="0.25">
      <c r="A9" s="30">
        <v>0.097194</v>
      </c>
      <c r="B9" s="31">
        <v>61.34552048721839</v>
      </c>
      <c r="C9" s="31">
        <v>60.21084938416863</v>
      </c>
      <c r="D9" s="31">
        <v>59.076178281118914</v>
      </c>
      <c r="E9" s="31">
        <v>57.94150717806916</v>
      </c>
      <c r="F9" s="31">
        <v>56.80683607501944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132376000000</v>
      </c>
      <c r="C5" s="18">
        <v>143153000000</v>
      </c>
      <c r="D5" s="18">
        <v>147399000000</v>
      </c>
      <c r="E5" s="18">
        <v>169990000000</v>
      </c>
      <c r="F5" s="6" t="s">
        <v>91</v>
      </c>
    </row>
    <row r="6" spans="1:6" x14ac:dyDescent="0.25">
      <c r="A6" t="s">
        <v>51</v>
      </c>
      <c r="B6" s="18">
        <v>3381000000</v>
      </c>
      <c r="C6" s="18">
        <v>1746000000</v>
      </c>
      <c r="D6" s="18">
        <v>7950000000</v>
      </c>
      <c r="E6" s="18">
        <v>9620000000</v>
      </c>
      <c r="F6" s="6" t="s">
        <v>92</v>
      </c>
    </row>
    <row r="7" spans="1:6" x14ac:dyDescent="0.25">
      <c r="A7" t="s">
        <v>93</v>
      </c>
      <c r="B7" s="18">
        <v>3251000000</v>
      </c>
      <c r="C7" s="18">
        <v>2363000000</v>
      </c>
      <c r="D7" s="18">
        <v>1977000000</v>
      </c>
      <c r="E7" s="18">
        <v>1629000000</v>
      </c>
      <c r="F7" s="6" t="s">
        <v>94</v>
      </c>
    </row>
    <row r="8" spans="1:6" x14ac:dyDescent="0.25">
      <c r="A8" t="s">
        <v>95</v>
      </c>
      <c r="B8" s="18">
        <v>2233000000</v>
      </c>
      <c r="C8" s="18">
        <v>1859000000</v>
      </c>
      <c r="D8" s="18">
        <v>2155000000</v>
      </c>
      <c r="E8" s="18">
        <v>1888000000</v>
      </c>
      <c r="F8" s="6" t="s">
        <v>96</v>
      </c>
    </row>
    <row r="9" spans="1:6" x14ac:dyDescent="0.25">
      <c r="A9" t="s">
        <v>97</v>
      </c>
      <c r="B9" s="18">
        <v>1181000000</v>
      </c>
      <c r="C9" s="18">
        <v>615000000</v>
      </c>
      <c r="D9" s="18">
        <v>1815000000</v>
      </c>
      <c r="E9" s="18">
        <v>-68000000</v>
      </c>
      <c r="F9" s="6" t="s">
        <v>98</v>
      </c>
    </row>
    <row r="10" spans="1:6" x14ac:dyDescent="0.25">
      <c r="A10" t="s">
        <v>99</v>
      </c>
      <c r="B10" s="18">
        <v>19716000000</v>
      </c>
      <c r="C10" s="18">
        <v>20062000000</v>
      </c>
      <c r="D10" s="18">
        <v>19359000000</v>
      </c>
      <c r="E10" s="18">
        <v>17190000000</v>
      </c>
      <c r="F10" s="6" t="s">
        <v>100</v>
      </c>
    </row>
    <row r="11" spans="1:6" x14ac:dyDescent="0.25">
      <c r="A11" t="s">
        <v>101</v>
      </c>
      <c r="B11" s="18">
        <v>1116000000</v>
      </c>
      <c r="C11" s="18">
        <v>1738000000</v>
      </c>
      <c r="D11" s="18">
        <v>3323000000</v>
      </c>
      <c r="E11" s="18">
        <v>6133000000</v>
      </c>
      <c r="F11" s="6" t="s">
        <v>102</v>
      </c>
    </row>
    <row r="12" spans="1:6" x14ac:dyDescent="0.25">
      <c r="A12" t="s">
        <v>34</v>
      </c>
      <c r="B12" s="34">
        <v>408053000</v>
      </c>
      <c r="C12" s="34">
        <v>421888000</v>
      </c>
      <c r="D12" s="34">
        <v>453210000</v>
      </c>
      <c r="E12" s="34">
        <v>473731000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