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<sst xmlns="http://schemas.openxmlformats.org/spreadsheetml/2006/main" count="111" uniqueCount="99">
  <si>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Phillips 66 (PSX)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</si>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</sst>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-0.0799841840778086</v>
      </c>
    </row>
    <row r="7" spans="1:2" x14ac:dyDescent="0.25">
      <c r="A7" t="s">
        <v>5</v>
      </c>
      <c r="B7" s="6">
        <v>0.03706610632839338</v>
      </c>
    </row>
    <row r="8" spans="1:2" x14ac:dyDescent="0.25">
      <c r="A8" t="s">
        <v>6</v>
      </c>
      <c r="B8" s="6">
        <v>0.20439448330633891</v>
      </c>
    </row>
    <row r="9" spans="1:2" x14ac:dyDescent="0.25">
      <c r="A9" t="s">
        <v>7</v>
      </c>
      <c r="B9" s="6">
        <v>0.01601528437001413</v>
      </c>
    </row>
    <row r="10" spans="1:2" x14ac:dyDescent="0.25">
      <c r="A10" t="s">
        <v>8</v>
      </c>
      <c r="B10" s="6">
        <v>0.013895359679855869</v>
      </c>
    </row>
    <row r="11" spans="1:2" x14ac:dyDescent="0.25">
      <c r="A11" t="s">
        <v>9</v>
      </c>
      <c r="B11" s="6">
        <v>-0.10958522779994433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19.316552955367914</v>
      </c>
    </row>
    <row r="14" spans="1:3" x14ac:dyDescent="0.25">
      <c r="A14" t="s">
        <v>12</v>
      </c>
      <c r="B14" s="6">
        <v>0.09087989624309195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0.80168</v>
      </c>
      <c r="C19" s="8" t="s">
        <v>19</v>
      </c>
    </row>
    <row r="20" spans="1:2" x14ac:dyDescent="0.25">
      <c r="A20" t="s">
        <v>20</v>
      </c>
      <c r="B20" s="10">
        <f>B17+B19*B18</f>
        <v>0.0940724</v>
      </c>
    </row>
    <row r="21" spans="1:3" x14ac:dyDescent="0.25">
      <c r="A21" t="s">
        <v>21</v>
      </c>
      <c r="B21" s="6">
        <v>0.054603046910352455</v>
      </c>
      <c r="C21" s="8" t="s">
        <v>22</v>
      </c>
    </row>
    <row r="22" spans="1:2" x14ac:dyDescent="0.25">
      <c r="A22" t="s">
        <v>23</v>
      </c>
      <c r="B22" s="11">
        <v>109507379200</v>
      </c>
    </row>
    <row r="23" spans="1:2" x14ac:dyDescent="0.25">
      <c r="A23" t="s">
        <v>24</v>
      </c>
      <c r="B23" s="11">
        <v>19716000000</v>
      </c>
    </row>
    <row r="24" spans="1:2" x14ac:dyDescent="0.25">
      <c r="A24" t="s">
        <v>25</v>
      </c>
      <c r="B24" s="10">
        <f>B22/(B22+B23)</f>
        <v>0.847426989434432</v>
      </c>
    </row>
    <row r="25" spans="1:2" x14ac:dyDescent="0.25">
      <c r="A25" t="s">
        <v>26</v>
      </c>
      <c r="B25" s="10">
        <f>1-B24</f>
        <v>0.15257301056556805</v>
      </c>
    </row>
    <row r="26" spans="1:2" x14ac:dyDescent="0.25">
      <c r="A26" t="s">
        <v>27</v>
      </c>
      <c r="B26" s="12">
        <f>B24*B20+B25*B21*(1-B8)</f>
        <v>0.08634764149719604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132376000000</v>
      </c>
      <c r="C29" s="8" t="s">
        <v>30</v>
      </c>
    </row>
    <row r="30" spans="1:2" x14ac:dyDescent="0.25">
      <c r="A30" t="s">
        <v>31</v>
      </c>
      <c r="B30" s="11">
        <v>18600000000</v>
      </c>
    </row>
    <row r="31" spans="1:2" x14ac:dyDescent="0.25">
      <c r="A31" t="s">
        <v>32</v>
      </c>
      <c r="B31" s="13">
        <v>408053000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-0.0799841840778086</v>
      </c>
      <c r="C5" s="10">
        <f>Assumptions!B6</f>
        <v>-0.0799841840778086</v>
      </c>
      <c r="D5" s="10">
        <f>Assumptions!B6</f>
        <v>-0.0799841840778086</v>
      </c>
      <c r="E5" s="10">
        <f>Assumptions!B6</f>
        <v>-0.0799841840778086</v>
      </c>
      <c r="F5" s="10">
        <f>Assumptions!B6</f>
        <v>-0.0799841840778086</v>
      </c>
    </row>
    <row r="6" spans="1:6" x14ac:dyDescent="0.25">
      <c r="A6" t="s">
        <v>43</v>
      </c>
      <c r="B6" s="18">
        <f>Assumptions!B29*(1+B5)</f>
        <v>121788013648.516</v>
      </c>
      <c r="C6" s="18">
        <f>B6*(1+C5)</f>
        <v>112046898746.38243</v>
      </c>
      <c r="D6" s="18">
        <f>C6*(1+D5)</f>
        <v>103084918971.7042</v>
      </c>
      <c r="E6" s="18">
        <f>D6*(1+E5)</f>
        <v>94839755837.02542</v>
      </c>
      <c r="F6" s="18">
        <f>E6*(1+F5)</f>
        <v>87254075348.26236</v>
      </c>
    </row>
    <row r="7" spans="1:6" x14ac:dyDescent="0.25">
      <c r="A7" t="s">
        <v>5</v>
      </c>
      <c r="B7" s="10">
        <f>Assumptions!B7</f>
        <v>0.03706610632839338</v>
      </c>
      <c r="C7" s="10">
        <f>Assumptions!B7</f>
        <v>0.03706610632839338</v>
      </c>
      <c r="D7" s="10">
        <f>Assumptions!B7</f>
        <v>0.03706610632839338</v>
      </c>
      <c r="E7" s="10">
        <f>Assumptions!B7</f>
        <v>0.03706610632839338</v>
      </c>
      <c r="F7" s="10">
        <f>Assumptions!B7</f>
        <v>0.03706610632839338</v>
      </c>
    </row>
    <row r="8" spans="1:6" x14ac:dyDescent="0.25">
      <c r="A8" t="s">
        <v>44</v>
      </c>
      <c r="B8" s="18">
        <f>B6*B7</f>
        <v>4514207463.419719</v>
      </c>
      <c r="C8" s="18">
        <f>C6*C7</f>
        <v>4153142262.7001386</v>
      </c>
      <c r="D8" s="18">
        <f>D6*D7</f>
        <v>3820956567.459004</v>
      </c>
      <c r="E8" s="18">
        <f>E6*E7</f>
        <v>3515340474.0140514</v>
      </c>
      <c r="F8" s="18">
        <f>F6*F7</f>
        <v>3234168834.4443407</v>
      </c>
    </row>
    <row r="9" spans="1:6" x14ac:dyDescent="0.25">
      <c r="A9" t="s">
        <v>45</v>
      </c>
      <c r="B9" s="18">
        <f>B8*(1-Assumptions!B8)</f>
        <v>3591528361.3964267</v>
      </c>
      <c r="C9" s="18">
        <f>C8*(1-Assumptions!B8)</f>
        <v>3304262895.8178244</v>
      </c>
      <c r="D9" s="18">
        <f>D8*(1-Assumptions!B8)</f>
        <v>3039974124.1172585</v>
      </c>
      <c r="E9" s="18">
        <f>E8*(1-Assumptions!B8)</f>
        <v>2796824274.182089</v>
      </c>
      <c r="F9" s="18">
        <f>F8*(1-Assumptions!B8)</f>
        <v>2573122566.6026254</v>
      </c>
    </row>
    <row r="10" spans="1:6" x14ac:dyDescent="0.25">
      <c r="A10" t="s">
        <v>46</v>
      </c>
      <c r="B10" s="18">
        <f>B6*Assumptions!B9</f>
        <v>1950469671.4401462</v>
      </c>
      <c r="C10" s="18">
        <f>C6*Assumptions!B9</f>
        <v>1794462946.2014945</v>
      </c>
      <c r="D10" s="18">
        <f>D6*Assumptions!B9</f>
        <v>1650934291.5917075</v>
      </c>
      <c r="E10" s="18">
        <f>E6*Assumptions!B9</f>
        <v>1518885659.3126698</v>
      </c>
      <c r="F10" s="18">
        <f>F6*Assumptions!B9</f>
        <v>1397398829.1450615</v>
      </c>
    </row>
    <row r="11" spans="1:6" x14ac:dyDescent="0.25">
      <c r="A11" t="s">
        <v>47</v>
      </c>
      <c r="B11" s="18">
        <f>-B6*Assumptions!B10</f>
        <v>-1692288254.3413255</v>
      </c>
      <c r="C11" s="18">
        <f>-C6*Assumptions!B10</f>
        <v>-1556931959.0933754</v>
      </c>
      <c r="D11" s="18">
        <f>-D6*Assumptions!B10</f>
        <v>-1432402026.6806278</v>
      </c>
      <c r="E11" s="18">
        <f>-E6*Assumptions!B10</f>
        <v>-1317832519.3051784</v>
      </c>
      <c r="F11" s="18">
        <f>-F6*Assumptions!B10</f>
        <v>-1212426760.4973507</v>
      </c>
    </row>
    <row r="12" spans="1:6" x14ac:dyDescent="0.25">
      <c r="A12" t="s">
        <v>48</v>
      </c>
      <c r="B12" s="18">
        <f>-(B6-Assumptions!B29)*Assumptions!B11</f>
        <v>-1160286896.2700748</v>
      </c>
      <c r="C12" s="18">
        <f>-(C6-B6)*Assumptions!B11</f>
        <v>-1067482295.5757402</v>
      </c>
      <c r="D12" s="18">
        <f>-(D6-C6)*Assumptions!B11</f>
        <v>-982100595.1466085</v>
      </c>
      <c r="E12" s="18">
        <f>-(E6-D6)*Assumptions!B11</f>
        <v>-903548080.3614763</v>
      </c>
      <c r="F12" s="18">
        <f>-(F6-E6)*Assumptions!B11</f>
        <v>-831278524.3786931</v>
      </c>
    </row>
    <row r="13" spans="1:6" x14ac:dyDescent="0.25">
      <c r="A13" s="19" t="s">
        <v>49</v>
      </c>
      <c r="B13" s="20">
        <f>B9+B10+B11+B12</f>
        <v>2689422882.225172</v>
      </c>
      <c r="C13" s="20">
        <f>C9+C10+C11+C12</f>
        <v>2474311587.350203</v>
      </c>
      <c r="D13" s="20">
        <f>D9+D10+D11+D12</f>
        <v>2276405793.88173</v>
      </c>
      <c r="E13" s="20">
        <f>E9+E10+E11+E12</f>
        <v>2094329333.8281035</v>
      </c>
      <c r="F13" s="20">
        <f>F9+F10+F11+F12</f>
        <v>1926816110.871643</v>
      </c>
    </row>
    <row r="14" spans="1:6" x14ac:dyDescent="0.25">
      <c r="A14" t="s">
        <v>50</v>
      </c>
      <c r="B14" s="21">
        <f>1/(1+Assumptions!$B$26)^(1-0.5*Assumptions!$B$32)</f>
        <v>0.9594350655909912</v>
      </c>
      <c r="C14" s="21">
        <f>1/(1+Assumptions!$B$26)^(2-0.5*Assumptions!$B$32)</f>
        <v>0.883174988320226</v>
      </c>
      <c r="D14" s="21">
        <f>1/(1+Assumptions!$B$26)^(3-0.5*Assumptions!$B$32)</f>
        <v>0.8129763940970507</v>
      </c>
      <c r="E14" s="21">
        <f>1/(1+Assumptions!$B$26)^(4-0.5*Assumptions!$B$32)</f>
        <v>0.7483574898516031</v>
      </c>
      <c r="F14" s="21">
        <f>1/(1+Assumptions!$B$26)^(5-0.5*Assumptions!$B$32)</f>
        <v>0.6888747775253808</v>
      </c>
    </row>
    <row r="15" spans="1:6" x14ac:dyDescent="0.25">
      <c r="A15" s="19" t="s">
        <v>51</v>
      </c>
      <c r="B15" s="20">
        <f>B13*B14</f>
        <v>2580326619.409621</v>
      </c>
      <c r="C15" s="20">
        <f>C13*C14</f>
        <v>2185250107.2586155</v>
      </c>
      <c r="D15" s="20">
        <f>D13*D14</f>
        <v>1850664173.8116028</v>
      </c>
      <c r="E15" s="20">
        <f>E13*E14</f>
        <v>1567307043.1861796</v>
      </c>
      <c r="F15" s="20">
        <f>F13*F14</f>
        <v>1327335019.7090228</v>
      </c>
    </row>
    <row r="17" spans="1:2" x14ac:dyDescent="0.25">
      <c r="A17" s="22" t="s">
        <v>52</v>
      </c>
      <c r="B17" s="23">
        <f>SUM(B15:F15)</f>
        <v>9510882963.37504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1926816110.871643</v>
      </c>
    </row>
    <row r="5" spans="1:2" x14ac:dyDescent="0.25">
      <c r="A5" t="s">
        <v>56</v>
      </c>
      <c r="B5" s="18">
        <f>IF(Assumptions!$B$33=0,B4,B4-Forecast!F11-Forecast!F10-Forecast!F12)</f>
        <v>2573122566.6026254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0.27508834223498935</v>
      </c>
    </row>
    <row r="7" spans="1:2" x14ac:dyDescent="0.25">
      <c r="A7" t="s">
        <v>58</v>
      </c>
      <c r="B7" s="18">
        <f>-MAX(Forecast!F9,0)*B6</f>
        <v>-707836021.2141572</v>
      </c>
    </row>
    <row r="8" spans="1:2" x14ac:dyDescent="0.25">
      <c r="A8" t="s">
        <v>59</v>
      </c>
      <c r="B8" s="18">
        <f>IF(OR(Assumptions!$B$33=0,Assumptions!B12&lt;=0),B5,MAX(B5+B7,0))</f>
        <v>1865286545.3884683</v>
      </c>
    </row>
    <row r="9" spans="1:2" x14ac:dyDescent="0.25">
      <c r="A9" t="s">
        <v>60</v>
      </c>
      <c r="B9" s="18">
        <f>B8*(1+Assumptions!B12)/(Assumptions!B26-Assumptions!B12)</f>
        <v>31165317237.347523</v>
      </c>
    </row>
    <row r="10" spans="1:2" x14ac:dyDescent="0.25">
      <c r="A10" t="s">
        <v>61</v>
      </c>
      <c r="B10" s="18">
        <f>B9/(1+Assumptions!B26)^(5-0.5*Assumptions!B32)</f>
        <v>21469000978.385693</v>
      </c>
    </row>
    <row r="11" spans="1:2" x14ac:dyDescent="0.25">
      <c r="A11" t="s">
        <v>62</v>
      </c>
      <c r="B11" s="18">
        <f>Forecast!B17+B10</f>
        <v>30979883941.760735</v>
      </c>
    </row>
    <row r="12" spans="1:2" x14ac:dyDescent="0.25">
      <c r="A12" t="s">
        <v>63</v>
      </c>
      <c r="B12" s="18">
        <f>-Assumptions!B30</f>
        <v>-18600000000</v>
      </c>
    </row>
    <row r="13" spans="1:2" x14ac:dyDescent="0.25">
      <c r="A13" t="s">
        <v>64</v>
      </c>
      <c r="B13" s="18">
        <f>B11+B12</f>
        <v>12379883941.760735</v>
      </c>
    </row>
    <row r="14" spans="1:2" x14ac:dyDescent="0.25">
      <c r="A14" s="19" t="s">
        <v>65</v>
      </c>
      <c r="B14" s="24">
        <f>B13/Assumptions!B31</f>
        <v>30.338911714313422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4631567663.589402</v>
      </c>
    </row>
    <row r="18" spans="1:2" x14ac:dyDescent="0.25">
      <c r="A18" t="s">
        <v>60</v>
      </c>
      <c r="B18" s="18">
        <f>B17*Assumptions!B13</f>
        <v>89465922040.09433</v>
      </c>
    </row>
    <row r="19" spans="1:2" x14ac:dyDescent="0.25">
      <c r="A19" t="s">
        <v>61</v>
      </c>
      <c r="B19" s="18">
        <f>B18/(1+Assumptions!B26)^(5-0.5*Assumptions!B32)</f>
        <v>61630817141.473045</v>
      </c>
    </row>
    <row r="20" spans="1:2" x14ac:dyDescent="0.25">
      <c r="A20" t="s">
        <v>62</v>
      </c>
      <c r="B20" s="18">
        <f>Forecast!B17+B19</f>
        <v>71141700104.84808</v>
      </c>
    </row>
    <row r="21" spans="1:2" x14ac:dyDescent="0.25">
      <c r="A21" t="s">
        <v>63</v>
      </c>
      <c r="B21" s="18">
        <f>-Assumptions!B30</f>
        <v>-18600000000</v>
      </c>
    </row>
    <row r="22" spans="1:2" x14ac:dyDescent="0.25">
      <c r="A22" t="s">
        <v>64</v>
      </c>
      <c r="B22" s="18">
        <f>B20+B21</f>
        <v>52541700104.84808</v>
      </c>
    </row>
    <row r="23" spans="1:2" x14ac:dyDescent="0.25">
      <c r="A23" s="19" t="s">
        <v>65</v>
      </c>
      <c r="B23" s="25">
        <f>B22/Assumptions!B31</f>
        <v>128.76195029775073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273.13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30.338911714313422</v>
      </c>
    </row>
    <row r="29" spans="1:2" x14ac:dyDescent="0.25">
      <c r="A29" s="19" t="s">
        <v>73</v>
      </c>
      <c r="B29" s="12">
        <f>B28/B26-1</f>
        <v>-0.8889213498542327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0.066348</v>
      </c>
      <c r="B5" s="31">
        <v>56.6405842095912</v>
      </c>
      <c r="C5" s="31">
        <v>59.75654017049339</v>
      </c>
      <c r="D5" s="31">
        <v>63.56324758175469</v>
      </c>
      <c r="E5" s="31">
        <v>68.34576399139392</v>
      </c>
      <c r="F5" s="31">
        <v>74.57101344482608</v>
      </c>
    </row>
    <row r="6" spans="1:6" x14ac:dyDescent="0.25">
      <c r="A6" s="30">
        <v>0.076348</v>
      </c>
      <c r="B6" s="31">
        <v>40.75816353284027</v>
      </c>
      <c r="C6" s="31">
        <v>42.13465253824129</v>
      </c>
      <c r="D6" s="31">
        <v>43.73069053320899</v>
      </c>
      <c r="E6" s="31">
        <v>45.617332036676224</v>
      </c>
      <c r="F6" s="31">
        <v>47.90000059095444</v>
      </c>
    </row>
    <row r="7" spans="1:6" x14ac:dyDescent="0.25">
      <c r="A7" s="30">
        <v>0.086348</v>
      </c>
      <c r="B7" s="31">
        <v>29.322894146061977</v>
      </c>
      <c r="C7" s="31">
        <v>29.8104438747582</v>
      </c>
      <c r="D7" s="32">
        <v>30.33850942018387</v>
      </c>
      <c r="E7" s="31">
        <v>30.917876209522586</v>
      </c>
      <c r="F7" s="31">
        <v>31.563530584183887</v>
      </c>
    </row>
    <row r="8" spans="1:6" x14ac:dyDescent="0.25">
      <c r="A8" s="30">
        <v>0.096348</v>
      </c>
      <c r="B8" s="31">
        <v>21.181908950963486</v>
      </c>
      <c r="C8" s="31">
        <v>21.39823223619229</v>
      </c>
      <c r="D8" s="31">
        <v>21.614555521421103</v>
      </c>
      <c r="E8" s="31">
        <v>21.830878806649917</v>
      </c>
      <c r="F8" s="31">
        <v>22.04720209187873</v>
      </c>
    </row>
    <row r="9" spans="1:6" x14ac:dyDescent="0.25">
      <c r="A9" s="30">
        <v>0.106348</v>
      </c>
      <c r="B9" s="31">
        <v>15.019096040596562</v>
      </c>
      <c r="C9" s="31">
        <v>15.207231941764743</v>
      </c>
      <c r="D9" s="31">
        <v>15.395367842932913</v>
      </c>
      <c r="E9" s="31">
        <v>15.583503744101103</v>
      </c>
      <c r="F9" s="31">
        <v>15.771639645269282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132376000000</v>
      </c>
      <c r="C5" s="18">
        <v>143153000000</v>
      </c>
      <c r="D5" s="18">
        <v>147399000000</v>
      </c>
      <c r="E5" s="18">
        <v>169990000000</v>
      </c>
      <c r="F5" s="8" t="s">
        <v>84</v>
      </c>
    </row>
    <row r="6" spans="1:6" x14ac:dyDescent="0.25">
      <c r="A6" t="s">
        <v>44</v>
      </c>
      <c r="B6" s="18">
        <v>3381000000</v>
      </c>
      <c r="C6" s="18">
        <v>1746000000</v>
      </c>
      <c r="D6" s="18">
        <v>7950000000</v>
      </c>
      <c r="E6" s="18">
        <v>9620000000</v>
      </c>
      <c r="F6" s="8" t="s">
        <v>85</v>
      </c>
    </row>
    <row r="7" spans="1:6" x14ac:dyDescent="0.25">
      <c r="A7" t="s">
        <v>86</v>
      </c>
      <c r="B7" s="18">
        <v>3251000000</v>
      </c>
      <c r="C7" s="18">
        <v>2363000000</v>
      </c>
      <c r="D7" s="18">
        <v>1977000000</v>
      </c>
      <c r="E7" s="18">
        <v>1629000000</v>
      </c>
      <c r="F7" s="8" t="s">
        <v>87</v>
      </c>
    </row>
    <row r="8" spans="1:6" x14ac:dyDescent="0.25">
      <c r="A8" t="s">
        <v>88</v>
      </c>
      <c r="B8" s="18">
        <v>2233000000</v>
      </c>
      <c r="C8" s="18">
        <v>1859000000</v>
      </c>
      <c r="D8" s="18">
        <v>2155000000</v>
      </c>
      <c r="E8" s="18">
        <v>1888000000</v>
      </c>
      <c r="F8" s="8" t="s">
        <v>89</v>
      </c>
    </row>
    <row r="9" spans="1:6" x14ac:dyDescent="0.25">
      <c r="A9" t="s">
        <v>90</v>
      </c>
      <c r="B9" s="18">
        <v>1181000000</v>
      </c>
      <c r="C9" s="18">
        <v>615000000</v>
      </c>
      <c r="D9" s="18">
        <v>1815000000</v>
      </c>
      <c r="E9" s="18">
        <v>-68000000</v>
      </c>
      <c r="F9" s="8" t="s">
        <v>91</v>
      </c>
    </row>
    <row r="10" spans="1:6" x14ac:dyDescent="0.25">
      <c r="A10" t="s">
        <v>92</v>
      </c>
      <c r="B10" s="18">
        <v>19716000000</v>
      </c>
      <c r="C10" s="18">
        <v>20062000000</v>
      </c>
      <c r="D10" s="18">
        <v>19359000000</v>
      </c>
      <c r="E10" s="18">
        <v>17190000000</v>
      </c>
      <c r="F10" s="8" t="s">
        <v>93</v>
      </c>
    </row>
    <row r="11" spans="1:6" x14ac:dyDescent="0.25">
      <c r="A11" t="s">
        <v>94</v>
      </c>
      <c r="B11" s="18">
        <v>1116000000</v>
      </c>
      <c r="C11" s="18">
        <v>1738000000</v>
      </c>
      <c r="D11" s="18">
        <v>3323000000</v>
      </c>
      <c r="E11" s="18">
        <v>6133000000</v>
      </c>
      <c r="F11" s="8" t="s">
        <v>95</v>
      </c>
    </row>
    <row r="12" spans="1:6" x14ac:dyDescent="0.25">
      <c r="A12" t="s">
        <v>32</v>
      </c>
      <c r="B12" s="34">
        <v>408053000</v>
      </c>
      <c r="C12" s="34">
        <v>421888000</v>
      </c>
      <c r="D12" s="34">
        <v>453210000</v>
      </c>
      <c r="E12" s="34">
        <v>473731000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2026-09-19T00:06:44Z</dcterms:modified>
</cp:coreProperties>
</file>