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<sst xmlns="http://schemas.openxmlformats.org/spreadsheetml/2006/main" count="120" uniqueCount="107">
  <si>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PTC Inc. (PTC)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</si>
  <si>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</si>
  <si>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</si>
  <si>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</si>
  <si>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</si>
  <si>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</si>
  <si>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</si>
  <si>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</si>
  <si>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</si>
  <si>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</si>
  <si>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</si>
  <si>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</si>
  <si>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</si>
  <si>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</si>
  <si>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</si>
  <si>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</si>
  <si>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</si>
  <si>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</si>
  <si>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</si>
  <si>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</si>
  <si>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</si>
  <si>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</si>
  <si>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</si>
  <si>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</si>
  <si>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13.0x interest cover. Book interest / average debt was lower, at 4.7%.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</si>
  <si>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</si>
  <si>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</si>
  <si>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</si>
  <si>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</si>
  <si>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</si>
  <si>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</si>
  <si>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</si>
  <si>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2025-09-30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</si>
  <si>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</si>
  <si>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</si>
  <si>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</si>
  <si>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</si>
  <si>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</si>
  <si>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</si>
  <si>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</si>
  <si>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</si>
  <si>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</si>
  <si>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</si>
  <si>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</si>
  <si>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</si>
  <si>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</si>
  <si>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</si>
  <si>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</si>
  <si>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</si>
  <si>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</si>
  <si>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</si>
  <si>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</si>
  <si>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</si>
  <si>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</si>
  <si>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</si>
  <si>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</si>
  <si>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</si>
  <si>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</si>
  <si>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</si>
  <si>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</si>
  <si>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</si>
  <si>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</si>
  <si>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</si>
  <si>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</si>
  <si>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</si>
  <si>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</si>
  <si>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</si>
  <si>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</si>
  <si>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</si>
  <si>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</si>
  <si>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</si>
  <si>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</si>
  <si>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</si>
  <si>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</si>
  <si>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</si>
  <si>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</si>
  <si>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</si>
  <si>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</si>
  <si>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</si>
  <si>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</si>
  <si>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</si>
  <si>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</si>
  <si>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</si>
  <si>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</si>
  <si>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</si>
  <si>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</si>
  <si>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2025-09-30</t>
  </si>
  <si>
    <t>2024-09-30</t>
  </si>
  <si>
    <t>2023-09-30</t>
  </si>
  <si>
    <t>2022-09-30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</si>
  <si>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</si>
  <si>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</si>
  <si>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</si>
  <si>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</si>
  <si>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</si>
  <si>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</si>
  <si>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</si>
  <si>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</si>
  <si>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</si>
  <si>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</si>
  <si>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</si>
  <si>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</si>
  <si>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</si>
  <si>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</si>
  <si>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</si>
  <si>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just 0.88% of revenue, which is too low to be the company's real investment - property trusts and similar structures invest through lines that are not reported as capex. Capex has been set to 5.99% of revenue so the forecast is not handed free growth. Override it if the reported figure is right.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</si>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</sst>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-0.005462280220763116</v>
      </c>
    </row>
    <row r="7" spans="1:2" x14ac:dyDescent="0.25">
      <c r="A7" t="s">
        <v>4</v>
      </c>
      <c r="B7" s="5">
        <v>0.27209734778105765</v>
      </c>
    </row>
    <row r="8" spans="1:2" x14ac:dyDescent="0.25">
      <c r="A8" t="s">
        <v>5</v>
      </c>
      <c r="B8" s="5">
        <v>0.20695406664307653</v>
      </c>
    </row>
    <row r="9" spans="1:2" x14ac:dyDescent="0.25">
      <c r="A9" t="s">
        <v>6</v>
      </c>
      <c r="B9" s="5">
        <v>0.059872189169530715</v>
      </c>
    </row>
    <row r="10" spans="1:3" x14ac:dyDescent="0.25">
      <c r="A10" t="s">
        <v>7</v>
      </c>
      <c r="B10" s="5">
        <v>0.059872189169530715</v>
      </c>
      <c r="C10" s="6" t="s">
        <v>8</v>
      </c>
    </row>
    <row r="11" spans="1:2" x14ac:dyDescent="0.25">
      <c r="A11" t="s">
        <v>9</v>
      </c>
      <c r="B11" s="5">
        <v>0.36287322362210317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19.786946742847462</v>
      </c>
    </row>
    <row r="14" spans="1:3" x14ac:dyDescent="0.25">
      <c r="A14" t="s">
        <v>12</v>
      </c>
      <c r="B14" s="5">
        <v>0.09950413628261702</v>
      </c>
      <c r="C14" s="6" t="s">
        <v>13</v>
      </c>
    </row>
    <row r="15" spans="1:3" x14ac:dyDescent="0.25">
      <c r="A15" t="s">
        <v>14</v>
      </c>
      <c r="B15" s="5">
        <v>0.059872189169530715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0.99665</v>
      </c>
      <c r="C19" s="6" t="s">
        <v>21</v>
      </c>
    </row>
    <row r="20" spans="1:2" x14ac:dyDescent="0.25">
      <c r="A20" t="s">
        <v>22</v>
      </c>
      <c r="B20" s="9">
        <f>B17+B19*B18</f>
        <v>0.091098295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21241944064</v>
      </c>
    </row>
    <row r="23" spans="1:2" x14ac:dyDescent="0.25">
      <c r="A23" t="s">
        <v>26</v>
      </c>
      <c r="B23" s="10">
        <v>1369867000</v>
      </c>
    </row>
    <row r="24" spans="1:2" x14ac:dyDescent="0.25">
      <c r="A24" t="s">
        <v>27</v>
      </c>
      <c r="B24" s="9">
        <f>B22/(B22+B23)</f>
        <v>0.9394180768571453</v>
      </c>
    </row>
    <row r="25" spans="1:2" x14ac:dyDescent="0.25">
      <c r="A25" t="s">
        <v>28</v>
      </c>
      <c r="B25" s="9">
        <f>1-B24</f>
        <v>0.06058192314285471</v>
      </c>
    </row>
    <row r="26" spans="1:2" x14ac:dyDescent="0.25">
      <c r="A26" t="s">
        <v>29</v>
      </c>
      <c r="B26" s="11">
        <f>B24*B20+B25*B21*(1-B8)</f>
        <v>0.08812284757151717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2739226000</v>
      </c>
      <c r="C29" s="6" t="s">
        <v>32</v>
      </c>
    </row>
    <row r="30" spans="1:2" x14ac:dyDescent="0.25">
      <c r="A30" t="s">
        <v>33</v>
      </c>
      <c r="B30" s="10">
        <v>1185452000</v>
      </c>
    </row>
    <row r="31" spans="1:2" x14ac:dyDescent="0.25">
      <c r="A31" t="s">
        <v>34</v>
      </c>
      <c r="B31" s="12">
        <v>120777000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-0.005462280220763116</v>
      </c>
      <c r="C5" s="5">
        <v>0.06373265835018804</v>
      </c>
      <c r="D5" s="5">
        <v>0.05889107605641454</v>
      </c>
      <c r="E5" s="5">
        <v>0.05404949376264103</v>
      </c>
      <c r="F5" s="5">
        <v>0.04920791146886753</v>
      </c>
      <c r="G5" s="5">
        <v>0.04436632917509402</v>
      </c>
      <c r="H5" s="5">
        <v>0.039524746881320516</v>
      </c>
      <c r="I5" s="5">
        <v>0.034683164587547013</v>
      </c>
      <c r="J5" s="5">
        <v>0.029841582293773504</v>
      </c>
      <c r="K5" s="5">
        <v>0.025</v>
      </c>
    </row>
    <row r="6" spans="1:11" x14ac:dyDescent="0.25">
      <c r="A6" t="s">
        <v>50</v>
      </c>
      <c r="B6" s="18">
        <f>Assumptions!B29*(1+B5)</f>
        <v>2724263580</v>
      </c>
      <c r="C6" s="18">
        <f>B6*(1+C5)</f>
        <v>2897888140</v>
      </c>
      <c r="D6" s="18">
        <f>C6*(1+D5)</f>
        <v>3068547890.8557215</v>
      </c>
      <c r="E6" s="18">
        <f>D6*(1+E5)</f>
        <v>3234401350.942893</v>
      </c>
      <c r="F6" s="18">
        <f>E6*(1+F5)</f>
        <v>3393559486.274876</v>
      </c>
      <c r="G6" s="18">
        <f>F6*(1+G5)</f>
        <v>3544119263.51821</v>
      </c>
      <c r="H6" s="18">
        <f>G6*(1+H5)</f>
        <v>3684199680.325979</v>
      </c>
      <c r="I6" s="18">
        <f>H6*(1+I5)</f>
        <v>3811979384.212113</v>
      </c>
      <c r="J6" s="18">
        <f>I6*(1+J5)</f>
        <v>3925734880.708246</v>
      </c>
      <c r="K6" s="18">
        <f>J6*(1+K5)</f>
        <v>4023878252.725952</v>
      </c>
    </row>
    <row r="7" spans="1:11" x14ac:dyDescent="0.25">
      <c r="A7" t="s">
        <v>4</v>
      </c>
      <c r="B7" s="9">
        <f>Assumptions!B7</f>
        <v>0.27209734778105765</v>
      </c>
      <c r="C7" s="9">
        <f>Assumptions!B7</f>
        <v>0.27209734778105765</v>
      </c>
      <c r="D7" s="9">
        <f>Assumptions!B7</f>
        <v>0.27209734778105765</v>
      </c>
      <c r="E7" s="9">
        <f>Assumptions!B7</f>
        <v>0.27209734778105765</v>
      </c>
      <c r="F7" s="9">
        <f>Assumptions!B7</f>
        <v>0.27209734778105765</v>
      </c>
      <c r="G7" s="9">
        <f>Assumptions!B7</f>
        <v>0.27209734778105765</v>
      </c>
      <c r="H7" s="9">
        <f>Assumptions!B7</f>
        <v>0.27209734778105765</v>
      </c>
      <c r="I7" s="9">
        <f>Assumptions!B7</f>
        <v>0.27209734778105765</v>
      </c>
      <c r="J7" s="9">
        <f>Assumptions!B7</f>
        <v>0.27209734778105765</v>
      </c>
      <c r="K7" s="9">
        <f>Assumptions!B7</f>
        <v>0.27209734778105765</v>
      </c>
    </row>
    <row r="8" spans="1:11" x14ac:dyDescent="0.25">
      <c r="A8" t="s">
        <v>51</v>
      </c>
      <c r="B8" s="18">
        <f>B6*B7</f>
        <v>741264894.7745292</v>
      </c>
      <c r="C8" s="18">
        <f>C6*C7</f>
        <v>788507677.0601823</v>
      </c>
      <c r="D8" s="18">
        <f>D6*D7</f>
        <v>834943742.6410002</v>
      </c>
      <c r="E8" s="18">
        <f>E6*E7</f>
        <v>880072029.251031</v>
      </c>
      <c r="F8" s="18">
        <f>F6*F7</f>
        <v>923378535.7526423</v>
      </c>
      <c r="G8" s="18">
        <f>G6*G7</f>
        <v>964345451.8230603</v>
      </c>
      <c r="H8" s="18">
        <f>H6*H7</f>
        <v>1002460961.7125194</v>
      </c>
      <c r="I8" s="18">
        <f>I6*I7</f>
        <v>1037229480.2401853</v>
      </c>
      <c r="J8" s="18">
        <f>J6*J7</f>
        <v>1068182049.1323005</v>
      </c>
      <c r="K8" s="18">
        <f>K6*K7</f>
        <v>1094886600.360608</v>
      </c>
    </row>
    <row r="9" spans="1:11" x14ac:dyDescent="0.25">
      <c r="A9" t="s">
        <v>52</v>
      </c>
      <c r="B9" s="18">
        <f>B8*(1-Assumptions!B8)</f>
        <v>587857110.3411882</v>
      </c>
      <c r="C9" s="18">
        <f>C8*(1-Assumptions!B8)</f>
        <v>625322806.7132919</v>
      </c>
      <c r="D9" s="18">
        <f>D8*(1-Assumptions!B8)</f>
        <v>662148739.683255</v>
      </c>
      <c r="E9" s="18">
        <f>E8*(1-Assumptions!B8)</f>
        <v>697937543.8587056</v>
      </c>
      <c r="F9" s="18">
        <f>F8*(1-Assumptions!B8)</f>
        <v>732281592.7277036</v>
      </c>
      <c r="G9" s="18">
        <f>G8*(1-Assumptions!B8)</f>
        <v>764770238.919523</v>
      </c>
      <c r="H9" s="18">
        <f>H8*(1-Assumptions!B8)</f>
        <v>794997589.0351841</v>
      </c>
      <c r="I9" s="18">
        <f>I8*(1-Assumptions!B8)</f>
        <v>822570621.2623944</v>
      </c>
      <c r="J9" s="18">
        <f>J8*(1-Assumptions!B8)</f>
        <v>847117430.1492364</v>
      </c>
      <c r="K9" s="18">
        <f>K8*(1-Assumptions!B8)</f>
        <v>868295365.9029673</v>
      </c>
    </row>
    <row r="10" spans="1:11" x14ac:dyDescent="0.25">
      <c r="A10" t="s">
        <v>53</v>
      </c>
      <c r="B10" s="18">
        <f>B6*Assumptions!B9</f>
        <v>163107624.40942296</v>
      </c>
      <c r="C10" s="18">
        <f>C6*Assumptions!B9</f>
        <v>173502906.91021952</v>
      </c>
      <c r="D10" s="18">
        <f>D6*Assumptions!B9</f>
        <v>183720679.79707825</v>
      </c>
      <c r="E10" s="18">
        <f>E6*Assumptions!B9</f>
        <v>193650689.5338386</v>
      </c>
      <c r="F10" s="18">
        <f>F6*Assumptions!B9</f>
        <v>203179835.52030486</v>
      </c>
      <c r="G10" s="18">
        <f>G6*Assumptions!B9</f>
        <v>212194178.98474014</v>
      </c>
      <c r="H10" s="18">
        <f>H6*Assumptions!B9</f>
        <v>220581100.1988016</v>
      </c>
      <c r="I10" s="18">
        <f>I6*Assumptions!B9</f>
        <v>228231550.80189884</v>
      </c>
      <c r="J10" s="18">
        <f>J6*Assumptions!B9</f>
        <v>235042341.40718922</v>
      </c>
      <c r="K10" s="18">
        <f>K6*Assumptions!B9</f>
        <v>240918399.94236892</v>
      </c>
    </row>
    <row r="11" spans="1:11" x14ac:dyDescent="0.25">
      <c r="A11" t="s">
        <v>54</v>
      </c>
      <c r="B11" s="18">
        <f>-B6*B19</f>
        <v>-163107624.40942296</v>
      </c>
      <c r="C11" s="18">
        <f>-C6*C19</f>
        <v>-190959546.01406807</v>
      </c>
      <c r="D11" s="18">
        <f>-D6*D19</f>
        <v>-220690038.52708367</v>
      </c>
      <c r="E11" s="18">
        <f>-E6*E19</f>
        <v>-252101990.3149761</v>
      </c>
      <c r="F11" s="18">
        <f>-F6*F19</f>
        <v>-284949925.1405927</v>
      </c>
      <c r="G11" s="18">
        <f>-G6*G19</f>
        <v>-318941589.4010632</v>
      </c>
      <c r="H11" s="18">
        <f>-H6*H19</f>
        <v>-353740989.95071924</v>
      </c>
      <c r="I11" s="18">
        <f>-I6*I19</f>
        <v>-388972896.280649</v>
      </c>
      <c r="J11" s="18">
        <f>-J6*J19</f>
        <v>-424228766.056179</v>
      </c>
      <c r="K11" s="18">
        <f>-K6*K19</f>
        <v>-459073995.8657353</v>
      </c>
    </row>
    <row r="12" spans="1:11" x14ac:dyDescent="0.25">
      <c r="A12" t="s">
        <v>55</v>
      </c>
      <c r="B12" s="18">
        <f>-(B6-Assumptions!B29)*Assumptions!B11</f>
        <v>5429461.578587829</v>
      </c>
      <c r="C12" s="18">
        <f>-(C6-B6)*Assumptions!B11</f>
        <v>-63003703.78716927</v>
      </c>
      <c r="D12" s="18">
        <f>-(D6-C6)*Assumptions!B11</f>
        <v>-61927853.93556063</v>
      </c>
      <c r="E12" s="18">
        <f>-(E6-D6)*Assumptions!B11</f>
        <v>-60183779.71071177</v>
      </c>
      <c r="F12" s="18">
        <f>-(F6-E6)*Assumptions!B11</f>
        <v>-57754225.63359966</v>
      </c>
      <c r="G12" s="18">
        <f>-(G6-F6)*Assumptions!B11</f>
        <v>-54634111.71611431</v>
      </c>
      <c r="H12" s="18">
        <f>-(H6-G6)*Assumptions!B11</f>
        <v>-50831432.41336309</v>
      </c>
      <c r="I12" s="18">
        <f>-(I6-H6)*Assumptions!B11</f>
        <v>-46367833.06263911</v>
      </c>
      <c r="J12" s="18">
        <f>-(J6-I6)*Assumptions!B11</f>
        <v>-41278823.71828476</v>
      </c>
      <c r="K12" s="18">
        <f>-(K6-J6)*Assumptions!B11</f>
        <v>-35613601.78120826</v>
      </c>
    </row>
    <row r="13" spans="1:11" x14ac:dyDescent="0.25">
      <c r="A13" s="19" t="s">
        <v>56</v>
      </c>
      <c r="B13" s="20">
        <f>B9+B10+B11+B12</f>
        <v>593286571.919776</v>
      </c>
      <c r="C13" s="20">
        <f>C9+C10+C11+C12</f>
        <v>544862463.8222742</v>
      </c>
      <c r="D13" s="20">
        <f>D9+D10+D11+D12</f>
        <v>563251527.017689</v>
      </c>
      <c r="E13" s="20">
        <f>E9+E10+E11+E12</f>
        <v>579302463.3668565</v>
      </c>
      <c r="F13" s="20">
        <f>F9+F10+F11+F12</f>
        <v>592757277.4738162</v>
      </c>
      <c r="G13" s="20">
        <f>G9+G10+G11+G12</f>
        <v>603388716.7870857</v>
      </c>
      <c r="H13" s="20">
        <f>H9+H10+H11+H12</f>
        <v>611006266.8699034</v>
      </c>
      <c r="I13" s="20">
        <f>I9+I10+I11+I12</f>
        <v>615461442.7210051</v>
      </c>
      <c r="J13" s="20">
        <f>J9+J10+J11+J12</f>
        <v>616652181.7819618</v>
      </c>
      <c r="K13" s="20">
        <f>K9+K10+K11+K12</f>
        <v>614526168.1983926</v>
      </c>
    </row>
    <row r="14" spans="1:11" x14ac:dyDescent="0.25">
      <c r="A14" t="s">
        <v>57</v>
      </c>
      <c r="B14" s="21">
        <f>1/(1+Assumptions!$B$26)^(1-0.5*Assumptions!$B$32)</f>
        <v>0.9586521162245362</v>
      </c>
      <c r="C14" s="21">
        <f>1/(1+Assumptions!$B$26)^(2-0.5*Assumptions!$B$32)</f>
        <v>0.881014600845911</v>
      </c>
      <c r="D14" s="21">
        <f>1/(1+Assumptions!$B$26)^(3-0.5*Assumptions!$B$32)</f>
        <v>0.8096646466087608</v>
      </c>
      <c r="E14" s="21">
        <f>1/(1+Assumptions!$B$26)^(4-0.5*Assumptions!$B$32)</f>
        <v>0.7440930483316087</v>
      </c>
      <c r="F14" s="21">
        <f>1/(1+Assumptions!$B$26)^(5-0.5*Assumptions!$B$32)</f>
        <v>0.6838318393849395</v>
      </c>
      <c r="G14" s="21">
        <f>1/(1+Assumptions!$B$26)^(6-0.5*Assumptions!$B$32)</f>
        <v>0.6284509519408786</v>
      </c>
      <c r="H14" s="21">
        <f>1/(1+Assumptions!$B$26)^(7-0.5*Assumptions!$B$32)</f>
        <v>0.577555147696293</v>
      </c>
      <c r="I14" s="21">
        <f>1/(1+Assumptions!$B$26)^(8-0.5*Assumptions!$B$32)</f>
        <v>0.530781197164719</v>
      </c>
      <c r="J14" s="21">
        <f>1/(1+Assumptions!$B$26)^(9-0.5*Assumptions!$B$32)</f>
        <v>0.48779528740649225</v>
      </c>
      <c r="K14" s="21">
        <f>1/(1+Assumptions!$B$26)^(10-0.5*Assumptions!$B$32)</f>
        <v>0.44829063969675703</v>
      </c>
    </row>
    <row r="15" spans="1:11" x14ac:dyDescent="0.25">
      <c r="A15" s="19" t="s">
        <v>58</v>
      </c>
      <c r="B15" s="20">
        <f>B13*B14</f>
        <v>568755427.6984937</v>
      </c>
      <c r="C15" s="20">
        <f>C13*C14</f>
        <v>480031786.0803005</v>
      </c>
      <c r="D15" s="20">
        <f>D13*D14</f>
        <v>456044848.57462204</v>
      </c>
      <c r="E15" s="20">
        <f>E13*E14</f>
        <v>431054935.8726543</v>
      </c>
      <c r="F15" s="20">
        <f>F13*F14</f>
        <v>405346299.3637287</v>
      </c>
      <c r="G15" s="20">
        <f>G13*G14</f>
        <v>379200213.4552292</v>
      </c>
      <c r="H15" s="20">
        <f>H13*H14</f>
        <v>352889814.70540774</v>
      </c>
      <c r="I15" s="20">
        <f>I13*I14</f>
        <v>326675361.37618023</v>
      </c>
      <c r="J15" s="20">
        <f>J13*J14</f>
        <v>300800028.24217254</v>
      </c>
      <c r="K15" s="20">
        <f>K13*K14</f>
        <v>275486329.05205435</v>
      </c>
    </row>
    <row r="17" spans="1:2" x14ac:dyDescent="0.25">
      <c r="A17" s="22" t="s">
        <v>59</v>
      </c>
      <c r="B17" s="23">
        <f>SUM(B15:K15)</f>
        <v>3976285044.4208436</v>
      </c>
    </row>
    <row r="19" spans="1:11" x14ac:dyDescent="0.25">
      <c r="A19" t="s">
        <v>7</v>
      </c>
      <c r="B19" s="9">
        <f>Assumptions!$B$10+($B$20-Assumptions!$B$10)*0/9</f>
        <v>0.059872189169530715</v>
      </c>
      <c r="C19" s="9">
        <f>Assumptions!$B$10+($B$20-Assumptions!$B$10)*1/9</f>
        <v>0.06589610667790237</v>
      </c>
      <c r="D19" s="9">
        <f>Assumptions!$B$10+($B$20-Assumptions!$B$10)*2/9</f>
        <v>0.07192002418627404</v>
      </c>
      <c r="E19" s="9">
        <f>Assumptions!$B$10+($B$20-Assumptions!$B$10)*3/9</f>
        <v>0.07794394169464569</v>
      </c>
      <c r="F19" s="9">
        <f>Assumptions!$B$10+($B$20-Assumptions!$B$10)*4/9</f>
        <v>0.08396785920301734</v>
      </c>
      <c r="G19" s="9">
        <f>Assumptions!$B$10+($B$20-Assumptions!$B$10)*5/9</f>
        <v>0.08999177671138901</v>
      </c>
      <c r="H19" s="9">
        <f>Assumptions!$B$10+($B$20-Assumptions!$B$10)*6/9</f>
        <v>0.09601569421976067</v>
      </c>
      <c r="I19" s="9">
        <f>Assumptions!$B$10+($B$20-Assumptions!$B$10)*7/9</f>
        <v>0.10203961172813233</v>
      </c>
      <c r="J19" s="9">
        <f>Assumptions!$B$10+($B$20-Assumptions!$B$10)*8/9</f>
        <v>0.10806352923650397</v>
      </c>
      <c r="K19" s="9">
        <f>Assumptions!$B$10+($B$20-Assumptions!$B$10)*9/9</f>
        <v>0.11408744674487564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0.11408744674487564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614526168.1983926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868295365.9029673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0.25124583694685465</v>
      </c>
    </row>
    <row r="7" spans="1:2" x14ac:dyDescent="0.25">
      <c r="A7" t="s">
        <v>66</v>
      </c>
      <c r="B7" s="18">
        <f>-MAX(B5,0)*B6</f>
        <v>-218155595.92336643</v>
      </c>
    </row>
    <row r="8" spans="1:2" x14ac:dyDescent="0.25">
      <c r="A8" t="s">
        <v>67</v>
      </c>
      <c r="B8" s="18">
        <f>IF(OR(Assumptions!$B$33=0,Assumptions!B12&lt;=0),B5,MAX(B5+B7,0))</f>
        <v>650139769.9796009</v>
      </c>
    </row>
    <row r="9" spans="1:2" x14ac:dyDescent="0.25">
      <c r="A9" t="s">
        <v>68</v>
      </c>
      <c r="B9" s="18">
        <f>B8*(1+Assumptions!B12)/(Assumptions!B26-Assumptions!B12)</f>
        <v>10557084952.070295</v>
      </c>
    </row>
    <row r="10" spans="1:2" x14ac:dyDescent="0.25">
      <c r="A10" t="s">
        <v>69</v>
      </c>
      <c r="B10" s="18">
        <f>B9/(1+Assumptions!B26)^(10-0.5*Assumptions!B32)</f>
        <v>4732642366.4966</v>
      </c>
    </row>
    <row r="11" spans="1:2" x14ac:dyDescent="0.25">
      <c r="A11" t="s">
        <v>70</v>
      </c>
      <c r="B11" s="18">
        <f>Forecast!B17+B10</f>
        <v>8708927410.917444</v>
      </c>
    </row>
    <row r="12" spans="1:2" x14ac:dyDescent="0.25">
      <c r="A12" t="s">
        <v>71</v>
      </c>
      <c r="B12" s="18">
        <f>-Assumptions!B30</f>
        <v>-1185452000</v>
      </c>
    </row>
    <row r="13" spans="1:2" x14ac:dyDescent="0.25">
      <c r="A13" t="s">
        <v>72</v>
      </c>
      <c r="B13" s="18">
        <f>B11+B12</f>
        <v>7523475410.917444</v>
      </c>
    </row>
    <row r="14" spans="1:2" x14ac:dyDescent="0.25">
      <c r="A14" s="19" t="s">
        <v>73</v>
      </c>
      <c r="B14" s="24">
        <f>B13/Assumptions!B31</f>
        <v>62.29228587328253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1335805000.302977</v>
      </c>
    </row>
    <row r="18" spans="1:2" x14ac:dyDescent="0.25">
      <c r="A18" t="s">
        <v>68</v>
      </c>
      <c r="B18" s="18">
        <f>B17*Assumptions!B13</f>
        <v>26431502399.824345</v>
      </c>
    </row>
    <row r="19" spans="1:2" x14ac:dyDescent="0.25">
      <c r="A19" t="s">
        <v>69</v>
      </c>
      <c r="B19" s="18">
        <f>B18/(1+Assumptions!B26)^(10-0.5*Assumptions!B32)</f>
        <v>11848995118.963625</v>
      </c>
    </row>
    <row r="20" spans="1:2" x14ac:dyDescent="0.25">
      <c r="A20" t="s">
        <v>70</v>
      </c>
      <c r="B20" s="18">
        <f>Forecast!B17+B19</f>
        <v>15825280163.384468</v>
      </c>
    </row>
    <row r="21" spans="1:2" x14ac:dyDescent="0.25">
      <c r="A21" t="s">
        <v>71</v>
      </c>
      <c r="B21" s="18">
        <f>-Assumptions!B30</f>
        <v>-1185452000</v>
      </c>
    </row>
    <row r="22" spans="1:2" x14ac:dyDescent="0.25">
      <c r="A22" t="s">
        <v>72</v>
      </c>
      <c r="B22" s="18">
        <f>B20+B21</f>
        <v>14639828163.384468</v>
      </c>
    </row>
    <row r="23" spans="1:2" x14ac:dyDescent="0.25">
      <c r="A23" s="19" t="s">
        <v>73</v>
      </c>
      <c r="B23" s="25">
        <f>B22/Assumptions!B31</f>
        <v>121.2137092607406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195.54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62.29228587328253</v>
      </c>
    </row>
    <row r="29" spans="1:2" x14ac:dyDescent="0.25">
      <c r="A29" s="19" t="s">
        <v>81</v>
      </c>
      <c r="B29" s="11">
        <f>B28/B26-1</f>
        <v>-0.681434561351731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0.068123</v>
      </c>
      <c r="B5" s="31">
        <v>90.44187064813299</v>
      </c>
      <c r="C5" s="31">
        <v>92.11085318512305</v>
      </c>
      <c r="D5" s="31">
        <v>94.36712998595871</v>
      </c>
      <c r="E5" s="31">
        <v>97.44177976841361</v>
      </c>
      <c r="F5" s="31">
        <v>101.70540890039797</v>
      </c>
    </row>
    <row r="6" spans="1:6" x14ac:dyDescent="0.25">
      <c r="A6" s="30">
        <v>0.078123</v>
      </c>
      <c r="B6" s="31">
        <v>74.51415895390917</v>
      </c>
      <c r="C6" s="31">
        <v>74.80866420483446</v>
      </c>
      <c r="D6" s="31">
        <v>75.31226462847013</v>
      </c>
      <c r="E6" s="31">
        <v>76.09013545476145</v>
      </c>
      <c r="F6" s="31">
        <v>77.23767950911099</v>
      </c>
    </row>
    <row r="7" spans="1:6" x14ac:dyDescent="0.25">
      <c r="A7" s="30">
        <v>0.088123</v>
      </c>
      <c r="B7" s="31">
        <v>62.96750394821467</v>
      </c>
      <c r="C7" s="31">
        <v>62.59792029318698</v>
      </c>
      <c r="D7" s="32">
        <v>62.29211882791617</v>
      </c>
      <c r="E7" s="31">
        <v>62.06656003872187</v>
      </c>
      <c r="F7" s="31">
        <v>61.943901534194424</v>
      </c>
    </row>
    <row r="8" spans="1:6" x14ac:dyDescent="0.25">
      <c r="A8" s="30">
        <v>0.098123</v>
      </c>
      <c r="B8" s="31">
        <v>54.21875531664499</v>
      </c>
      <c r="C8" s="31">
        <v>53.52231057152312</v>
      </c>
      <c r="D8" s="31">
        <v>52.83060782182839</v>
      </c>
      <c r="E8" s="31">
        <v>52.14469120729931</v>
      </c>
      <c r="F8" s="31">
        <v>51.46593569470689</v>
      </c>
    </row>
    <row r="9" spans="1:6" x14ac:dyDescent="0.25">
      <c r="A9" s="30">
        <v>0.108123</v>
      </c>
      <c r="B9" s="31">
        <v>47.918266801781314</v>
      </c>
      <c r="C9" s="31">
        <v>47.28068864944246</v>
      </c>
      <c r="D9" s="31">
        <v>46.64311049710362</v>
      </c>
      <c r="E9" s="31">
        <v>46.00553234476479</v>
      </c>
      <c r="F9" s="31">
        <v>45.36795419242594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2739226000</v>
      </c>
      <c r="C5" s="18">
        <v>2298472000</v>
      </c>
      <c r="D5" s="18">
        <v>2097053000</v>
      </c>
      <c r="E5" s="18">
        <v>1933347000</v>
      </c>
      <c r="F5" s="6" t="s">
        <v>91</v>
      </c>
    </row>
    <row r="6" spans="1:6" x14ac:dyDescent="0.25">
      <c r="A6" t="s">
        <v>51</v>
      </c>
      <c r="B6" s="18">
        <v>998028000</v>
      </c>
      <c r="C6" s="18">
        <v>587260000</v>
      </c>
      <c r="D6" s="18">
        <v>458014000</v>
      </c>
      <c r="E6" s="18">
        <v>483596000</v>
      </c>
      <c r="F6" s="6" t="s">
        <v>92</v>
      </c>
    </row>
    <row r="7" spans="1:6" x14ac:dyDescent="0.25">
      <c r="A7" t="s">
        <v>93</v>
      </c>
      <c r="B7" s="18">
        <v>135416000</v>
      </c>
      <c r="C7" s="18">
        <v>141407000</v>
      </c>
      <c r="D7" s="18">
        <v>137162000</v>
      </c>
      <c r="E7" s="18">
        <v>122040000</v>
      </c>
      <c r="F7" s="6" t="s">
        <v>94</v>
      </c>
    </row>
    <row r="8" spans="1:6" x14ac:dyDescent="0.25">
      <c r="A8" t="s">
        <v>95</v>
      </c>
      <c r="B8" s="18">
        <v>11008000</v>
      </c>
      <c r="C8" s="18">
        <v>14378000</v>
      </c>
      <c r="D8" s="18">
        <v>23814000</v>
      </c>
      <c r="E8" s="18">
        <v>25947000</v>
      </c>
      <c r="F8" s="6" t="s">
        <v>96</v>
      </c>
    </row>
    <row r="9" spans="1:6" x14ac:dyDescent="0.25">
      <c r="A9" t="s">
        <v>97</v>
      </c>
      <c r="B9" s="18">
        <v>188123000</v>
      </c>
      <c r="C9" s="18">
        <v>-49448000</v>
      </c>
      <c r="D9" s="18">
        <v>-9089000</v>
      </c>
      <c r="E9" s="18">
        <v>215107000</v>
      </c>
      <c r="F9" s="6" t="s">
        <v>98</v>
      </c>
    </row>
    <row r="10" spans="1:6" x14ac:dyDescent="0.25">
      <c r="A10" t="s">
        <v>99</v>
      </c>
      <c r="B10" s="18">
        <v>1369867000</v>
      </c>
      <c r="C10" s="18">
        <v>1930326000</v>
      </c>
      <c r="D10" s="18">
        <v>1888977000</v>
      </c>
      <c r="E10" s="18">
        <v>1540203000</v>
      </c>
      <c r="F10" s="6" t="s">
        <v>100</v>
      </c>
    </row>
    <row r="11" spans="1:6" x14ac:dyDescent="0.25">
      <c r="A11" t="s">
        <v>101</v>
      </c>
      <c r="B11" s="18">
        <v>184415000</v>
      </c>
      <c r="C11" s="18">
        <v>265808000</v>
      </c>
      <c r="D11" s="18">
        <v>288103000</v>
      </c>
      <c r="E11" s="18">
        <v>272182000</v>
      </c>
      <c r="F11" s="6" t="s">
        <v>102</v>
      </c>
    </row>
    <row r="12" spans="1:6" x14ac:dyDescent="0.25">
      <c r="A12" t="s">
        <v>34</v>
      </c>
      <c r="B12" s="34">
        <v>120777000</v>
      </c>
      <c r="C12" s="34">
        <v>120742000</v>
      </c>
      <c r="D12" s="34">
        <v>119334000</v>
      </c>
      <c r="E12" s="34">
        <v>118233000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