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<sst xmlns="http://schemas.openxmlformats.org/spreadsheetml/2006/main" count="112" uniqueCount="100">
  <si>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PTC Inc. (PTC)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</si>
  <si>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</si>
  <si>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</si>
  <si>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</si>
  <si>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</si>
  <si>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</si>
  <si>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</si>
  <si>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</si>
  <si>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</si>
  <si>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</si>
  <si>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</si>
  <si>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</si>
  <si>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</si>
  <si>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</si>
  <si>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</si>
  <si>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</si>
  <si>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</si>
  <si>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</si>
  <si>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</si>
  <si>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</si>
  <si>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</si>
  <si>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</si>
  <si>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</si>
  <si>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</si>
  <si>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</si>
  <si>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</si>
  <si>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</si>
  <si>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</si>
  <si>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</si>
  <si>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</si>
  <si>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</si>
  <si>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</si>
  <si>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</si>
  <si>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</si>
  <si>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</si>
  <si>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</si>
  <si>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</si>
  <si>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</si>
  <si>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</si>
  <si>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</si>
  <si>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</si>
  <si>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</si>
  <si>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</si>
  <si>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</si>
  <si>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</si>
  <si>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</si>
  <si>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</si>
  <si>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</si>
  <si>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</si>
  <si>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</si>
  <si>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</si>
  <si>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</si>
  <si>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</si>
  <si>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</si>
  <si>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</si>
  <si>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</si>
  <si>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</si>
  <si>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</si>
  <si>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</si>
  <si>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</si>
  <si>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</si>
  <si>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</si>
  <si>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</si>
  <si>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</si>
  <si>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</si>
  <si>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</si>
  <si>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</si>
  <si>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</si>
  <si>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</si>
  <si>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</si>
  <si>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</si>
  <si>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</si>
  <si>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</si>
  <si>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</si>
  <si>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</si>
  <si>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</si>
  <si>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</si>
  <si>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</si>
  <si>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</si>
  <si>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</si>
  <si>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</si>
  <si>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</si>
  <si>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</si>
  <si>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</si>
  <si>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</si>
  <si>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</si>
  <si>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</si>
  <si>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</si>
  <si>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</si>
  <si>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</si>
  <si>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</si>
  <si>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</si>
  <si>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</si>
  <si>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</si>
  <si>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</si>
  <si>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</si>
  <si>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</si>
  <si>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</si>
  <si>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0.88% of revenue, which is too low to be the company's real investment - property trusts and similar structures invest through lines that are not reported as capex. Capex has been set to 5.99%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</si>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</sst>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0.12315411374311114</v>
      </c>
    </row>
    <row r="7" spans="1:2" x14ac:dyDescent="0.25">
      <c r="A7" t="s">
        <v>5</v>
      </c>
      <c r="B7" s="6">
        <v>0.27209734778105765</v>
      </c>
    </row>
    <row r="8" spans="1:2" x14ac:dyDescent="0.25">
      <c r="A8" t="s">
        <v>6</v>
      </c>
      <c r="B8" s="6">
        <v>0.20695406664307653</v>
      </c>
    </row>
    <row r="9" spans="1:2" x14ac:dyDescent="0.25">
      <c r="A9" t="s">
        <v>7</v>
      </c>
      <c r="B9" s="6">
        <v>0.059872189169530715</v>
      </c>
    </row>
    <row r="10" spans="1:2" x14ac:dyDescent="0.25">
      <c r="A10" t="s">
        <v>8</v>
      </c>
      <c r="B10" s="6">
        <v>0.059872189169530715</v>
      </c>
    </row>
    <row r="11" spans="1:2" x14ac:dyDescent="0.25">
      <c r="A11" t="s">
        <v>9</v>
      </c>
      <c r="B11" s="6">
        <v>-0.05552026193297741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14.054834617325602</v>
      </c>
    </row>
    <row r="14" spans="1:3" x14ac:dyDescent="0.25">
      <c r="A14" t="s">
        <v>12</v>
      </c>
      <c r="B14" s="6">
        <v>0.09950413628261702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1.00134</v>
      </c>
      <c r="C19" s="8" t="s">
        <v>19</v>
      </c>
    </row>
    <row r="20" spans="1:2" x14ac:dyDescent="0.25">
      <c r="A20" t="s">
        <v>20</v>
      </c>
      <c r="B20" s="10">
        <f>B17+B19*B18</f>
        <v>0.1050537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14744915968</v>
      </c>
    </row>
    <row r="23" spans="1:2" x14ac:dyDescent="0.25">
      <c r="A23" t="s">
        <v>24</v>
      </c>
      <c r="B23" s="11">
        <v>1369867000</v>
      </c>
    </row>
    <row r="24" spans="1:2" x14ac:dyDescent="0.25">
      <c r="A24" t="s">
        <v>25</v>
      </c>
      <c r="B24" s="10">
        <f>B22/(B22+B23)</f>
        <v>0.9149931461863173</v>
      </c>
    </row>
    <row r="25" spans="1:2" x14ac:dyDescent="0.25">
      <c r="A25" t="s">
        <v>26</v>
      </c>
      <c r="B25" s="10">
        <f>1-B24</f>
        <v>0.08500685381368267</v>
      </c>
    </row>
    <row r="26" spans="1:2" x14ac:dyDescent="0.25">
      <c r="A26" t="s">
        <v>27</v>
      </c>
      <c r="B26" s="12">
        <f>B24*B20+B25*B21*(1-B8)</f>
        <v>0.09949278418093942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2739226000</v>
      </c>
      <c r="C29" s="8" t="s">
        <v>30</v>
      </c>
    </row>
    <row r="30" spans="1:2" x14ac:dyDescent="0.25">
      <c r="A30" t="s">
        <v>31</v>
      </c>
      <c r="B30" s="11">
        <v>1185452000</v>
      </c>
    </row>
    <row r="31" spans="1:2" x14ac:dyDescent="0.25">
      <c r="A31" t="s">
        <v>32</v>
      </c>
      <c r="B31" s="13">
        <v>120777000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0.12315411374311114</v>
      </c>
      <c r="C5" s="10">
        <f>Assumptions!B6</f>
        <v>0.12315411374311114</v>
      </c>
      <c r="D5" s="10">
        <f>Assumptions!B6</f>
        <v>0.12315411374311114</v>
      </c>
      <c r="E5" s="10">
        <f>Assumptions!B6</f>
        <v>0.12315411374311114</v>
      </c>
      <c r="F5" s="10">
        <f>Assumptions!B6</f>
        <v>0.12315411374311114</v>
      </c>
    </row>
    <row r="6" spans="1:6" x14ac:dyDescent="0.25">
      <c r="A6" t="s">
        <v>43</v>
      </c>
      <c r="B6" s="18">
        <f>Assumptions!B29*(1+B5)</f>
        <v>3076572950.3720875</v>
      </c>
      <c r="C6" s="18">
        <f>B6*(1+C5)</f>
        <v>3455465565.4411907</v>
      </c>
      <c r="D6" s="18">
        <f>C6*(1+D5)</f>
        <v>3881020364.722939</v>
      </c>
      <c r="E6" s="18">
        <f>D6*(1+E5)</f>
        <v>4358983988.159359</v>
      </c>
      <c r="F6" s="18">
        <f>E6*(1+F5)</f>
        <v>4895810798.041537</v>
      </c>
    </row>
    <row r="7" spans="1:6" x14ac:dyDescent="0.25">
      <c r="A7" t="s">
        <v>5</v>
      </c>
      <c r="B7" s="10">
        <f>Assumptions!B7</f>
        <v>0.27209734778105765</v>
      </c>
      <c r="C7" s="10">
        <f>Assumptions!B7</f>
        <v>0.27209734778105765</v>
      </c>
      <c r="D7" s="10">
        <f>Assumptions!B7</f>
        <v>0.27209734778105765</v>
      </c>
      <c r="E7" s="10">
        <f>Assumptions!B7</f>
        <v>0.27209734778105765</v>
      </c>
      <c r="F7" s="10">
        <f>Assumptions!B7</f>
        <v>0.27209734778105765</v>
      </c>
    </row>
    <row r="8" spans="1:6" x14ac:dyDescent="0.25">
      <c r="A8" t="s">
        <v>44</v>
      </c>
      <c r="B8" s="18">
        <f>B6*B7</f>
        <v>837127340.0511885</v>
      </c>
      <c r="C8" s="18">
        <f>C6*C7</f>
        <v>940223015.7053207</v>
      </c>
      <c r="D8" s="18">
        <f>D6*D7</f>
        <v>1056015347.9253848</v>
      </c>
      <c r="E8" s="18">
        <f>E6*E7</f>
        <v>1186067982.1982589</v>
      </c>
      <c r="F8" s="18">
        <f>F6*F7</f>
        <v>1332137133.3849657</v>
      </c>
    </row>
    <row r="9" spans="1:6" x14ac:dyDescent="0.25">
      <c r="A9" t="s">
        <v>45</v>
      </c>
      <c r="B9" s="18">
        <f>B8*(1-Assumptions!B8)</f>
        <v>663880432.7294935</v>
      </c>
      <c r="C9" s="18">
        <f>C8*(1-Assumptions!B8)</f>
        <v>745640039.0536875</v>
      </c>
      <c r="D9" s="18">
        <f>D8*(1-Assumptions!B8)</f>
        <v>837468677.2347231</v>
      </c>
      <c r="E9" s="18">
        <f>E8*(1-Assumptions!B8)</f>
        <v>940606389.9671812</v>
      </c>
      <c r="F9" s="18">
        <f>F8*(1-Assumptions!B8)</f>
        <v>1056445936.3046967</v>
      </c>
    </row>
    <row r="10" spans="1:6" x14ac:dyDescent="0.25">
      <c r="A10" t="s">
        <v>46</v>
      </c>
      <c r="B10" s="18">
        <f>B6*Assumptions!B9</f>
        <v>184201157.67853886</v>
      </c>
      <c r="C10" s="18">
        <f>C6*Assumptions!B9</f>
        <v>206886288.0028944</v>
      </c>
      <c r="D10" s="18">
        <f>D6*Assumptions!B9</f>
        <v>232365185.4474929</v>
      </c>
      <c r="E10" s="18">
        <f>E6*Assumptions!B9</f>
        <v>260981913.92603257</v>
      </c>
      <c r="F10" s="18">
        <f>F6*Assumptions!B9</f>
        <v>293122910.238574</v>
      </c>
    </row>
    <row r="11" spans="1:6" x14ac:dyDescent="0.25">
      <c r="A11" t="s">
        <v>47</v>
      </c>
      <c r="B11" s="18">
        <f>-B6*Assumptions!B10</f>
        <v>-184201157.67853886</v>
      </c>
      <c r="C11" s="18">
        <f>-C6*Assumptions!B10</f>
        <v>-206886288.0028944</v>
      </c>
      <c r="D11" s="18">
        <f>-D6*Assumptions!B10</f>
        <v>-232365185.4474929</v>
      </c>
      <c r="E11" s="18">
        <f>-E6*Assumptions!B10</f>
        <v>-260981913.92603257</v>
      </c>
      <c r="F11" s="18">
        <f>-F6*Assumptions!B10</f>
        <v>-293122910.238574</v>
      </c>
    </row>
    <row r="12" spans="1:6" x14ac:dyDescent="0.25">
      <c r="A12" t="s">
        <v>48</v>
      </c>
      <c r="B12" s="18">
        <f>-(B6-Assumptions!B29)*Assumptions!B11</f>
        <v>18729591.046949428</v>
      </c>
      <c r="C12" s="18">
        <f>-(C6-B6)*Assumptions!B11</f>
        <v>21036217.233107395</v>
      </c>
      <c r="D12" s="18">
        <f>-(D6-C6)*Assumptions!B11</f>
        <v>23626913.922958292</v>
      </c>
      <c r="E12" s="18">
        <f>-(E6-D6)*Assumptions!B11</f>
        <v>26536665.567625016</v>
      </c>
      <c r="F12" s="18">
        <f>-(F6-E6)*Assumptions!B11</f>
        <v>29804765.097303208</v>
      </c>
    </row>
    <row r="13" spans="1:6" x14ac:dyDescent="0.25">
      <c r="A13" s="19" t="s">
        <v>49</v>
      </c>
      <c r="B13" s="20">
        <f>B9+B10+B11+B12</f>
        <v>682610023.776443</v>
      </c>
      <c r="C13" s="20">
        <f>C9+C10+C11+C12</f>
        <v>766676256.2867949</v>
      </c>
      <c r="D13" s="20">
        <f>D9+D10+D11+D12</f>
        <v>861095591.1576813</v>
      </c>
      <c r="E13" s="20">
        <f>E9+E10+E11+E12</f>
        <v>967143055.5348063</v>
      </c>
      <c r="F13" s="20">
        <f>F9+F10+F11+F12</f>
        <v>1086250701.4019997</v>
      </c>
    </row>
    <row r="14" spans="1:6" x14ac:dyDescent="0.25">
      <c r="A14" t="s">
        <v>50</v>
      </c>
      <c r="B14" s="21">
        <f>1/(1+Assumptions!$B$26)^(1-0.5*Assumptions!$B$32)</f>
        <v>0.9536824886179734</v>
      </c>
      <c r="C14" s="21">
        <f>1/(1+Assumptions!$B$26)^(2-0.5*Assumptions!$B$32)</f>
        <v>0.8673840359292704</v>
      </c>
      <c r="D14" s="21">
        <f>1/(1+Assumptions!$B$26)^(3-0.5*Assumptions!$B$32)</f>
        <v>0.7888947052757812</v>
      </c>
      <c r="E14" s="21">
        <f>1/(1+Assumptions!$B$26)^(4-0.5*Assumptions!$B$32)</f>
        <v>0.7175078514621299</v>
      </c>
      <c r="F14" s="21">
        <f>1/(1+Assumptions!$B$26)^(5-0.5*Assumptions!$B$32)</f>
        <v>0.6525807734123813</v>
      </c>
    </row>
    <row r="15" spans="1:6" x14ac:dyDescent="0.25">
      <c r="A15" s="19" t="s">
        <v>51</v>
      </c>
      <c r="B15" s="20">
        <f>B13*B14</f>
        <v>650993226.2306921</v>
      </c>
      <c r="C15" s="20">
        <f>C13*C14</f>
        <v>665002745.4291838</v>
      </c>
      <c r="D15" s="20">
        <f>D13*D14</f>
        <v>679313752.6006136</v>
      </c>
      <c r="E15" s="20">
        <f>E13*E14</f>
        <v>693932735.8332982</v>
      </c>
      <c r="F15" s="20">
        <f>F13*F14</f>
        <v>708866322.8406587</v>
      </c>
    </row>
    <row r="17" spans="1:2" x14ac:dyDescent="0.25">
      <c r="A17" s="22" t="s">
        <v>52</v>
      </c>
      <c r="B17" s="23">
        <f>SUM(B15:F15)</f>
        <v>3398108782.9344463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1086250701.4019997</v>
      </c>
    </row>
    <row r="5" spans="1:2" x14ac:dyDescent="0.25">
      <c r="A5" t="s">
        <v>56</v>
      </c>
      <c r="B5" s="18">
        <f>IF(Assumptions!$B$33=0,B4,B4-Forecast!F11-Forecast!F10-Forecast!F12)</f>
        <v>1056445936.3046967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0.25124583694685465</v>
      </c>
    </row>
    <row r="7" spans="1:2" x14ac:dyDescent="0.25">
      <c r="A7" t="s">
        <v>58</v>
      </c>
      <c r="B7" s="18">
        <f>-MAX(Forecast!F9,0)*B6</f>
        <v>-265427643.45597702</v>
      </c>
    </row>
    <row r="8" spans="1:2" x14ac:dyDescent="0.25">
      <c r="A8" t="s">
        <v>59</v>
      </c>
      <c r="B8" s="18">
        <f>IF(OR(Assumptions!$B$33=0,Assumptions!B12&lt;=0),B5,MAX(B5+B7,0))</f>
        <v>791018292.8487196</v>
      </c>
    </row>
    <row r="9" spans="1:2" x14ac:dyDescent="0.25">
      <c r="A9" t="s">
        <v>60</v>
      </c>
      <c r="B9" s="18">
        <f>B8*(1+Assumptions!B12)/(Assumptions!B26-Assumptions!B12)</f>
        <v>10884191792.329285</v>
      </c>
    </row>
    <row r="10" spans="1:2" x14ac:dyDescent="0.25">
      <c r="A10" t="s">
        <v>61</v>
      </c>
      <c r="B10" s="18">
        <f>B9/(1+Assumptions!B26)^(5-0.5*Assumptions!B32)</f>
        <v>7102814297.806937</v>
      </c>
    </row>
    <row r="11" spans="1:2" x14ac:dyDescent="0.25">
      <c r="A11" t="s">
        <v>62</v>
      </c>
      <c r="B11" s="18">
        <f>Forecast!B17+B10</f>
        <v>10500923080.741383</v>
      </c>
    </row>
    <row r="12" spans="1:2" x14ac:dyDescent="0.25">
      <c r="A12" t="s">
        <v>63</v>
      </c>
      <c r="B12" s="18">
        <f>-Assumptions!B30</f>
        <v>-1185452000</v>
      </c>
    </row>
    <row r="13" spans="1:2" x14ac:dyDescent="0.25">
      <c r="A13" t="s">
        <v>64</v>
      </c>
      <c r="B13" s="18">
        <f>B11+B12</f>
        <v>9315471080.741383</v>
      </c>
    </row>
    <row r="14" spans="1:2" x14ac:dyDescent="0.25">
      <c r="A14" s="19" t="s">
        <v>65</v>
      </c>
      <c r="B14" s="24">
        <f>B13/Assumptions!B31</f>
        <v>77.12951208211317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1625260043.6235397</v>
      </c>
    </row>
    <row r="18" spans="1:2" x14ac:dyDescent="0.25">
      <c r="A18" t="s">
        <v>60</v>
      </c>
      <c r="B18" s="18">
        <f>B17*Assumptions!B13</f>
        <v>22842761123.276245</v>
      </c>
    </row>
    <row r="19" spans="1:2" x14ac:dyDescent="0.25">
      <c r="A19" t="s">
        <v>61</v>
      </c>
      <c r="B19" s="18">
        <f>B18/(1+Assumptions!B26)^(5-0.5*Assumptions!B32)</f>
        <v>14906746720.701887</v>
      </c>
    </row>
    <row r="20" spans="1:2" x14ac:dyDescent="0.25">
      <c r="A20" t="s">
        <v>62</v>
      </c>
      <c r="B20" s="18">
        <f>Forecast!B17+B19</f>
        <v>18304855503.636333</v>
      </c>
    </row>
    <row r="21" spans="1:2" x14ac:dyDescent="0.25">
      <c r="A21" t="s">
        <v>63</v>
      </c>
      <c r="B21" s="18">
        <f>-Assumptions!B30</f>
        <v>-1185452000</v>
      </c>
    </row>
    <row r="22" spans="1:2" x14ac:dyDescent="0.25">
      <c r="A22" t="s">
        <v>64</v>
      </c>
      <c r="B22" s="18">
        <f>B20+B21</f>
        <v>17119403503.636333</v>
      </c>
    </row>
    <row r="23" spans="1:2" x14ac:dyDescent="0.25">
      <c r="A23" s="19" t="s">
        <v>65</v>
      </c>
      <c r="B23" s="25">
        <f>B22/Assumptions!B31</f>
        <v>141.74390408468776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135.89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77.12951208211317</v>
      </c>
    </row>
    <row r="29" spans="1:2" x14ac:dyDescent="0.25">
      <c r="A29" s="19" t="s">
        <v>73</v>
      </c>
      <c r="B29" s="12">
        <f>B28/B26-1</f>
        <v>-0.4324121562873414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0.079493</v>
      </c>
      <c r="B5" s="31">
        <v>102.53812465765782</v>
      </c>
      <c r="C5" s="31">
        <v>104.60360098838434</v>
      </c>
      <c r="D5" s="31">
        <v>106.99094330639744</v>
      </c>
      <c r="E5" s="31">
        <v>109.79770055415977</v>
      </c>
      <c r="F5" s="31">
        <v>113.16527079307951</v>
      </c>
    </row>
    <row r="6" spans="1:6" x14ac:dyDescent="0.25">
      <c r="A6" s="30">
        <v>0.089493</v>
      </c>
      <c r="B6" s="31">
        <v>87.80791507923543</v>
      </c>
      <c r="C6" s="31">
        <v>88.7364840830676</v>
      </c>
      <c r="D6" s="31">
        <v>89.76269147997745</v>
      </c>
      <c r="E6" s="31">
        <v>90.91115488709923</v>
      </c>
      <c r="F6" s="31">
        <v>92.21552706998405</v>
      </c>
    </row>
    <row r="7" spans="1:6" x14ac:dyDescent="0.25">
      <c r="A7" s="30">
        <v>0.099493</v>
      </c>
      <c r="B7" s="31">
        <v>76.554498123221</v>
      </c>
      <c r="C7" s="31">
        <v>76.84185182174242</v>
      </c>
      <c r="D7" s="32">
        <v>77.12927571320336</v>
      </c>
      <c r="E7" s="31">
        <v>77.41678494868519</v>
      </c>
      <c r="F7" s="31">
        <v>77.70439937778875</v>
      </c>
    </row>
    <row r="8" spans="1:6" x14ac:dyDescent="0.25">
      <c r="A8" s="30">
        <v>0.109493</v>
      </c>
      <c r="B8" s="31">
        <v>68.48429118432652</v>
      </c>
      <c r="C8" s="31">
        <v>68.73454812941618</v>
      </c>
      <c r="D8" s="31">
        <v>68.98480507450584</v>
      </c>
      <c r="E8" s="31">
        <v>69.23506201959553</v>
      </c>
      <c r="F8" s="31">
        <v>69.4853189646852</v>
      </c>
    </row>
    <row r="9" spans="1:6" x14ac:dyDescent="0.25">
      <c r="A9" s="30">
        <v>0.119493</v>
      </c>
      <c r="B9" s="31">
        <v>61.776971916232874</v>
      </c>
      <c r="C9" s="31">
        <v>61.99721098296772</v>
      </c>
      <c r="D9" s="31">
        <v>62.21745004970257</v>
      </c>
      <c r="E9" s="31">
        <v>62.437689116437404</v>
      </c>
      <c r="F9" s="31">
        <v>62.65792818317224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2739226000</v>
      </c>
      <c r="C5" s="18">
        <v>2298472000</v>
      </c>
      <c r="D5" s="18">
        <v>2097053000</v>
      </c>
      <c r="E5" s="18">
        <v>1933347000</v>
      </c>
      <c r="F5" s="8" t="s">
        <v>84</v>
      </c>
    </row>
    <row r="6" spans="1:6" x14ac:dyDescent="0.25">
      <c r="A6" t="s">
        <v>44</v>
      </c>
      <c r="B6" s="18">
        <v>998028000</v>
      </c>
      <c r="C6" s="18">
        <v>587260000</v>
      </c>
      <c r="D6" s="18">
        <v>458014000</v>
      </c>
      <c r="E6" s="18">
        <v>483596000</v>
      </c>
      <c r="F6" s="8" t="s">
        <v>85</v>
      </c>
    </row>
    <row r="7" spans="1:6" x14ac:dyDescent="0.25">
      <c r="A7" t="s">
        <v>86</v>
      </c>
      <c r="B7" s="18">
        <v>135416000</v>
      </c>
      <c r="C7" s="18">
        <v>141407000</v>
      </c>
      <c r="D7" s="18">
        <v>137162000</v>
      </c>
      <c r="E7" s="18">
        <v>122040000</v>
      </c>
      <c r="F7" s="8" t="s">
        <v>87</v>
      </c>
    </row>
    <row r="8" spans="1:6" x14ac:dyDescent="0.25">
      <c r="A8" t="s">
        <v>88</v>
      </c>
      <c r="B8" s="18">
        <v>11008000</v>
      </c>
      <c r="C8" s="18">
        <v>14378000</v>
      </c>
      <c r="D8" s="18">
        <v>23814000</v>
      </c>
      <c r="E8" s="18">
        <v>25947000</v>
      </c>
      <c r="F8" s="8" t="s">
        <v>89</v>
      </c>
    </row>
    <row r="9" spans="1:6" x14ac:dyDescent="0.25">
      <c r="A9" t="s">
        <v>90</v>
      </c>
      <c r="B9" s="18">
        <v>188123000</v>
      </c>
      <c r="C9" s="18">
        <v>-49448000</v>
      </c>
      <c r="D9" s="18">
        <v>-9089000</v>
      </c>
      <c r="E9" s="18">
        <v>215107000</v>
      </c>
      <c r="F9" s="8" t="s">
        <v>91</v>
      </c>
    </row>
    <row r="10" spans="1:6" x14ac:dyDescent="0.25">
      <c r="A10" t="s">
        <v>92</v>
      </c>
      <c r="B10" s="18">
        <v>1369867000</v>
      </c>
      <c r="C10" s="18">
        <v>1930326000</v>
      </c>
      <c r="D10" s="18">
        <v>1888977000</v>
      </c>
      <c r="E10" s="18">
        <v>1540203000</v>
      </c>
      <c r="F10" s="8" t="s">
        <v>93</v>
      </c>
    </row>
    <row r="11" spans="1:6" x14ac:dyDescent="0.25">
      <c r="A11" t="s">
        <v>94</v>
      </c>
      <c r="B11" s="18">
        <v>184415000</v>
      </c>
      <c r="C11" s="18">
        <v>265808000</v>
      </c>
      <c r="D11" s="18">
        <v>288103000</v>
      </c>
      <c r="E11" s="18">
        <v>272182000</v>
      </c>
      <c r="F11" s="8" t="s">
        <v>95</v>
      </c>
    </row>
    <row r="12" spans="1:6" x14ac:dyDescent="0.25">
      <c r="A12" t="s">
        <v>32</v>
      </c>
      <c r="B12" s="34">
        <v>120777000</v>
      </c>
      <c r="C12" s="34">
        <v>120742000</v>
      </c>
      <c r="D12" s="34">
        <v>119334000</v>
      </c>
      <c r="E12" s="34">
        <v>118233000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2026-09-19T01:04:01Z</dcterms:modified>
</cp:coreProperties>
</file>