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<sst xmlns="http://schemas.openxmlformats.org/spreadsheetml/2006/main" count="112" uniqueCount="100">
  <si>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Puig Brands, S.A. (PUIG.MC)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</si>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</sst>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0.11681536542838034</v>
      </c>
    </row>
    <row r="7" spans="1:2" x14ac:dyDescent="0.25">
      <c r="A7" t="s">
        <v>5</v>
      </c>
      <c r="B7" s="6">
        <v>0.15763086719081332</v>
      </c>
    </row>
    <row r="8" spans="1:2" x14ac:dyDescent="0.25">
      <c r="A8" t="s">
        <v>6</v>
      </c>
      <c r="B8" s="6">
        <v>0.21965807870264015</v>
      </c>
    </row>
    <row r="9" spans="1:2" x14ac:dyDescent="0.25">
      <c r="A9" t="s">
        <v>7</v>
      </c>
      <c r="B9" s="6">
        <v>0.04279656804954883</v>
      </c>
    </row>
    <row r="10" spans="1:2" x14ac:dyDescent="0.25">
      <c r="A10" t="s">
        <v>8</v>
      </c>
      <c r="B10" s="6">
        <v>0.04061081289887993</v>
      </c>
    </row>
    <row r="11" spans="1:2" x14ac:dyDescent="0.25">
      <c r="A11" t="s">
        <v>9</v>
      </c>
      <c r="B11" s="6">
        <v>-0.08488775241295253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9.216196201958997</v>
      </c>
    </row>
    <row r="14" spans="1:3" x14ac:dyDescent="0.25">
      <c r="A14" t="s">
        <v>12</v>
      </c>
      <c r="B14" s="6">
        <v>0.13732105641969466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0.59331</v>
      </c>
      <c r="C19" s="8" t="s">
        <v>19</v>
      </c>
    </row>
    <row r="20" spans="1:2" x14ac:dyDescent="0.25">
      <c r="A20" t="s">
        <v>20</v>
      </c>
      <c r="B20" s="10">
        <f>B17+B19*B18</f>
        <v>0.08056515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9497105408</v>
      </c>
    </row>
    <row r="23" spans="1:2" x14ac:dyDescent="0.25">
      <c r="A23" t="s">
        <v>24</v>
      </c>
      <c r="B23" s="11">
        <v>1429591000</v>
      </c>
    </row>
    <row r="24" spans="1:2" x14ac:dyDescent="0.25">
      <c r="A24" t="s">
        <v>25</v>
      </c>
      <c r="B24" s="10">
        <f>B22/(B22+B23)</f>
        <v>0.8691653042585386</v>
      </c>
    </row>
    <row r="25" spans="1:2" x14ac:dyDescent="0.25">
      <c r="A25" t="s">
        <v>26</v>
      </c>
      <c r="B25" s="10">
        <f>1-B24</f>
        <v>0.13083469574146145</v>
      </c>
    </row>
    <row r="26" spans="1:2" x14ac:dyDescent="0.25">
      <c r="A26" t="s">
        <v>27</v>
      </c>
      <c r="B26" s="12">
        <f>B24*B20+B25*B21*(1-B8)</f>
        <v>0.0743124566219692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5042026000</v>
      </c>
      <c r="C29" s="8" t="s">
        <v>30</v>
      </c>
    </row>
    <row r="30" spans="1:2" x14ac:dyDescent="0.25">
      <c r="A30" t="s">
        <v>31</v>
      </c>
      <c r="B30" s="11">
        <v>383385000</v>
      </c>
    </row>
    <row r="31" spans="1:2" x14ac:dyDescent="0.25">
      <c r="A31" t="s">
        <v>32</v>
      </c>
      <c r="B31" s="13">
        <v>563300359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0.11681536542838034</v>
      </c>
      <c r="C5" s="10">
        <f>Assumptions!B6</f>
        <v>0.11681536542838034</v>
      </c>
      <c r="D5" s="10">
        <f>Assumptions!B6</f>
        <v>0.11681536542838034</v>
      </c>
      <c r="E5" s="10">
        <f>Assumptions!B6</f>
        <v>0.11681536542838034</v>
      </c>
      <c r="F5" s="10">
        <f>Assumptions!B6</f>
        <v>0.11681536542838034</v>
      </c>
    </row>
    <row r="6" spans="1:6" x14ac:dyDescent="0.25">
      <c r="A6" t="s">
        <v>43</v>
      </c>
      <c r="B6" s="18">
        <f>Assumptions!B29*(1+B5)</f>
        <v>5631012109.689395</v>
      </c>
      <c r="C6" s="18">
        <f>B6*(1+C5)</f>
        <v>6288800847.014397</v>
      </c>
      <c r="D6" s="18">
        <f>C6*(1+D5)</f>
        <v>7023429416.064692</v>
      </c>
      <c r="E6" s="18">
        <f>D6*(1+E5)</f>
        <v>7843873889.862724</v>
      </c>
      <c r="F6" s="18">
        <f>E6*(1+F5)</f>
        <v>8760158884.68117</v>
      </c>
    </row>
    <row r="7" spans="1:6" x14ac:dyDescent="0.25">
      <c r="A7" t="s">
        <v>5</v>
      </c>
      <c r="B7" s="10">
        <f>Assumptions!B7</f>
        <v>0.15763086719081332</v>
      </c>
      <c r="C7" s="10">
        <f>Assumptions!B7</f>
        <v>0.15763086719081332</v>
      </c>
      <c r="D7" s="10">
        <f>Assumptions!B7</f>
        <v>0.15763086719081332</v>
      </c>
      <c r="E7" s="10">
        <f>Assumptions!B7</f>
        <v>0.15763086719081332</v>
      </c>
      <c r="F7" s="10">
        <f>Assumptions!B7</f>
        <v>0.15763086719081332</v>
      </c>
    </row>
    <row r="8" spans="1:6" x14ac:dyDescent="0.25">
      <c r="A8" t="s">
        <v>44</v>
      </c>
      <c r="B8" s="18">
        <f>B6*B7</f>
        <v>887621322.0123105</v>
      </c>
      <c r="C8" s="18">
        <f>C6*C7</f>
        <v>991309131.1052006</v>
      </c>
      <c r="D8" s="18">
        <f>D6*D7</f>
        <v>1107109269.507745</v>
      </c>
      <c r="E8" s="18">
        <f>E6*E7</f>
        <v>1236436643.3944395</v>
      </c>
      <c r="F8" s="18">
        <f>F6*F7</f>
        <v>1380871441.7216008</v>
      </c>
    </row>
    <row r="9" spans="1:6" x14ac:dyDescent="0.25">
      <c r="A9" t="s">
        <v>45</v>
      </c>
      <c r="B9" s="18">
        <f>B8*(1-Assumptions!B8)</f>
        <v>692648127.803589</v>
      </c>
      <c r="C9" s="18">
        <f>C8*(1-Assumptions!B8)</f>
        <v>773560071.9662488</v>
      </c>
      <c r="D9" s="18">
        <f>D8*(1-Assumptions!B8)</f>
        <v>863923774.4537904</v>
      </c>
      <c r="E9" s="18">
        <f>E8*(1-Assumptions!B8)</f>
        <v>964843345.8688755</v>
      </c>
      <c r="F9" s="18">
        <f>F8*(1-Assumptions!B8)</f>
        <v>1077551873.8976893</v>
      </c>
    </row>
    <row r="10" spans="1:6" x14ac:dyDescent="0.25">
      <c r="A10" t="s">
        <v>46</v>
      </c>
      <c r="B10" s="18">
        <f>B6*Assumptions!B9</f>
        <v>240987992.9401557</v>
      </c>
      <c r="C10" s="18">
        <f>C6*Assumptions!B9</f>
        <v>269139093.39931196</v>
      </c>
      <c r="D10" s="18">
        <f>D6*Assumptions!B9</f>
        <v>300578674.94581556</v>
      </c>
      <c r="E10" s="18">
        <f>E6*Assumptions!B9</f>
        <v>335690882.6995894</v>
      </c>
      <c r="F10" s="18">
        <f>F6*Assumptions!B9</f>
        <v>374904735.8331175</v>
      </c>
    </row>
    <row r="11" spans="1:6" x14ac:dyDescent="0.25">
      <c r="A11" t="s">
        <v>47</v>
      </c>
      <c r="B11" s="18">
        <f>-B6*Assumptions!B10</f>
        <v>-228679979.21792316</v>
      </c>
      <c r="C11" s="18">
        <f>-C6*Assumptions!B10</f>
        <v>-255393314.5564193</v>
      </c>
      <c r="D11" s="18">
        <f>-D6*Assumptions!B10</f>
        <v>-285227177.92429274</v>
      </c>
      <c r="E11" s="18">
        <f>-E6*Assumptions!B10</f>
        <v>-318546094.9436246</v>
      </c>
      <c r="F11" s="18">
        <f>-F6*Assumptions!B10</f>
        <v>-355757173.43024766</v>
      </c>
    </row>
    <row r="12" spans="1:6" x14ac:dyDescent="0.25">
      <c r="A12" t="s">
        <v>48</v>
      </c>
      <c r="B12" s="18">
        <f>-(B6-Assumptions!B29)*Assumptions!B11</f>
        <v>49997707.05398146</v>
      </c>
      <c r="C12" s="18">
        <f>-(C6-B6)*Assumptions!B11</f>
        <v>55838207.47407341</v>
      </c>
      <c r="D12" s="18">
        <f>-(D6-C6)*Assumptions!B11</f>
        <v>62360968.08502303</v>
      </c>
      <c r="E12" s="18">
        <f>-(E6-D6)*Assumptions!B11</f>
        <v>69645687.36034252</v>
      </c>
      <c r="F12" s="18">
        <f>-(F6-E6)*Assumptions!B11</f>
        <v>77781373.77985168</v>
      </c>
    </row>
    <row r="13" spans="1:6" x14ac:dyDescent="0.25">
      <c r="A13" s="19" t="s">
        <v>49</v>
      </c>
      <c r="B13" s="20">
        <f>B9+B10+B11+B12</f>
        <v>754953848.579803</v>
      </c>
      <c r="C13" s="20">
        <f>C9+C10+C11+C12</f>
        <v>843144058.2832148</v>
      </c>
      <c r="D13" s="20">
        <f>D9+D10+D11+D12</f>
        <v>941636239.5603362</v>
      </c>
      <c r="E13" s="20">
        <f>E9+E10+E11+E12</f>
        <v>1051633820.9851826</v>
      </c>
      <c r="F13" s="20">
        <f>F9+F10+F11+F12</f>
        <v>1174480810.0804107</v>
      </c>
    </row>
    <row r="14" spans="1:6" x14ac:dyDescent="0.25">
      <c r="A14" t="s">
        <v>50</v>
      </c>
      <c r="B14" s="21">
        <f>1/(1+Assumptions!$B$26)^(1-0.5*Assumptions!$B$32)</f>
        <v>0.9647942229346347</v>
      </c>
      <c r="C14" s="21">
        <f>1/(1+Assumptions!$B$26)^(2-0.5*Assumptions!$B$32)</f>
        <v>0.8980573733346628</v>
      </c>
      <c r="D14" s="21">
        <f>1/(1+Assumptions!$B$26)^(3-0.5*Assumptions!$B$32)</f>
        <v>0.835936852262221</v>
      </c>
      <c r="E14" s="21">
        <f>1/(1+Assumptions!$B$26)^(4-0.5*Assumptions!$B$32)</f>
        <v>0.7781133385446463</v>
      </c>
      <c r="F14" s="21">
        <f>1/(1+Assumptions!$B$26)^(5-0.5*Assumptions!$B$32)</f>
        <v>0.7242895991277237</v>
      </c>
    </row>
    <row r="15" spans="1:6" x14ac:dyDescent="0.25">
      <c r="A15" s="19" t="s">
        <v>51</v>
      </c>
      <c r="B15" s="20">
        <f>B13*B14</f>
        <v>728375111.6920629</v>
      </c>
      <c r="C15" s="20">
        <f>C13*C14</f>
        <v>757191738.3245518</v>
      </c>
      <c r="D15" s="20">
        <f>D13*D14</f>
        <v>787148434.0741022</v>
      </c>
      <c r="E15" s="20">
        <f>E13*E14</f>
        <v>818290303.3732433</v>
      </c>
      <c r="F15" s="20">
        <f>F13*F14</f>
        <v>850664235.1163449</v>
      </c>
    </row>
    <row r="17" spans="1:2" x14ac:dyDescent="0.25">
      <c r="A17" s="22" t="s">
        <v>52</v>
      </c>
      <c r="B17" s="23">
        <f>SUM(B15:F15)</f>
        <v>3941669822.580305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1174480810.0804107</v>
      </c>
    </row>
    <row r="5" spans="1:2" x14ac:dyDescent="0.25">
      <c r="A5" t="s">
        <v>56</v>
      </c>
      <c r="B5" s="18">
        <f>IF(Assumptions!$B$33=0,B4,B4-Forecast!F11-Forecast!F10-Forecast!F12)</f>
        <v>1134119347.889384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0.18205510976839884</v>
      </c>
    </row>
    <row r="7" spans="1:2" x14ac:dyDescent="0.25">
      <c r="A7" t="s">
        <v>58</v>
      </c>
      <c r="B7" s="18">
        <f>-MAX(Forecast!F9,0)*B6</f>
        <v>-206472222.3704667</v>
      </c>
    </row>
    <row r="8" spans="1:2" x14ac:dyDescent="0.25">
      <c r="A8" t="s">
        <v>59</v>
      </c>
      <c r="B8" s="18">
        <f>IF(OR(Assumptions!$B$33=0,Assumptions!B12&lt;=0),B5,MAX(B5+B7,0))</f>
        <v>927647125.5189173</v>
      </c>
    </row>
    <row r="9" spans="1:2" x14ac:dyDescent="0.25">
      <c r="A9" t="s">
        <v>60</v>
      </c>
      <c r="B9" s="18">
        <f>B8*(1+Assumptions!B12)/(Assumptions!B26-Assumptions!B12)</f>
        <v>19281909050.811356</v>
      </c>
    </row>
    <row r="10" spans="1:2" x14ac:dyDescent="0.25">
      <c r="A10" t="s">
        <v>61</v>
      </c>
      <c r="B10" s="18">
        <f>B9/(1+Assumptions!B26)^(5-0.5*Assumptions!B32)</f>
        <v>13965686176.829384</v>
      </c>
    </row>
    <row r="11" spans="1:2" x14ac:dyDescent="0.25">
      <c r="A11" t="s">
        <v>62</v>
      </c>
      <c r="B11" s="18">
        <f>Forecast!B17+B10</f>
        <v>17907355999.40969</v>
      </c>
    </row>
    <row r="12" spans="1:2" x14ac:dyDescent="0.25">
      <c r="A12" t="s">
        <v>63</v>
      </c>
      <c r="B12" s="18">
        <f>-Assumptions!B30</f>
        <v>-383385000</v>
      </c>
    </row>
    <row r="13" spans="1:2" x14ac:dyDescent="0.25">
      <c r="A13" t="s">
        <v>64</v>
      </c>
      <c r="B13" s="18">
        <f>B11+B12</f>
        <v>17523970999.40969</v>
      </c>
    </row>
    <row r="14" spans="1:2" x14ac:dyDescent="0.25">
      <c r="A14" s="19" t="s">
        <v>65</v>
      </c>
      <c r="B14" s="24">
        <f>B13/Assumptions!B31</f>
        <v>31.109461798531697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1755776177.5547183</v>
      </c>
    </row>
    <row r="18" spans="1:2" x14ac:dyDescent="0.25">
      <c r="A18" t="s">
        <v>60</v>
      </c>
      <c r="B18" s="18">
        <f>B17*Assumptions!B13</f>
        <v>16181577739.06988</v>
      </c>
    </row>
    <row r="19" spans="1:2" x14ac:dyDescent="0.25">
      <c r="A19" t="s">
        <v>61</v>
      </c>
      <c r="B19" s="18">
        <f>B18/(1+Assumptions!B26)^(5-0.5*Assumptions!B32)</f>
        <v>11720148453.885021</v>
      </c>
    </row>
    <row r="20" spans="1:2" x14ac:dyDescent="0.25">
      <c r="A20" t="s">
        <v>62</v>
      </c>
      <c r="B20" s="18">
        <f>Forecast!B17+B19</f>
        <v>15661818276.465326</v>
      </c>
    </row>
    <row r="21" spans="1:2" x14ac:dyDescent="0.25">
      <c r="A21" t="s">
        <v>63</v>
      </c>
      <c r="B21" s="18">
        <f>-Assumptions!B30</f>
        <v>-383385000</v>
      </c>
    </row>
    <row r="22" spans="1:2" x14ac:dyDescent="0.25">
      <c r="A22" t="s">
        <v>64</v>
      </c>
      <c r="B22" s="18">
        <f>B20+B21</f>
        <v>15278433276.465326</v>
      </c>
    </row>
    <row r="23" spans="1:2" x14ac:dyDescent="0.25">
      <c r="A23" s="19" t="s">
        <v>65</v>
      </c>
      <c r="B23" s="25">
        <f>B22/Assumptions!B31</f>
        <v>27.123066819251445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16.86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31.109461798531697</v>
      </c>
    </row>
    <row r="29" spans="1:2" x14ac:dyDescent="0.25">
      <c r="A29" s="19" t="s">
        <v>73</v>
      </c>
      <c r="B29" s="12">
        <f>B28/B26-1</f>
        <v>0.8451638077420935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0.054312</v>
      </c>
      <c r="B5" s="31">
        <v>43.16418085503235</v>
      </c>
      <c r="C5" s="31">
        <v>46.97094910976762</v>
      </c>
      <c r="D5" s="31">
        <v>52.05671113493245</v>
      </c>
      <c r="E5" s="31">
        <v>59.21057957269714</v>
      </c>
      <c r="F5" s="31">
        <v>70.03889225389212</v>
      </c>
    </row>
    <row r="6" spans="1:6" x14ac:dyDescent="0.25">
      <c r="A6" s="30">
        <v>0.064312</v>
      </c>
      <c r="B6" s="31">
        <v>34.37418879936043</v>
      </c>
      <c r="C6" s="31">
        <v>36.39887243437075</v>
      </c>
      <c r="D6" s="31">
        <v>38.924498560886974</v>
      </c>
      <c r="E6" s="31">
        <v>42.17006162320235</v>
      </c>
      <c r="F6" s="31">
        <v>46.50397913076648</v>
      </c>
    </row>
    <row r="7" spans="1:6" x14ac:dyDescent="0.25">
      <c r="A7" s="30">
        <v>0.074312</v>
      </c>
      <c r="B7" s="31">
        <v>28.545830993754794</v>
      </c>
      <c r="C7" s="31">
        <v>29.714658905051582</v>
      </c>
      <c r="D7" s="32">
        <v>31.10974646102593</v>
      </c>
      <c r="E7" s="31">
        <v>32.80768453255175</v>
      </c>
      <c r="F7" s="31">
        <v>34.92402963502564</v>
      </c>
    </row>
    <row r="8" spans="1:6" x14ac:dyDescent="0.25">
      <c r="A8" s="30">
        <v>0.084312</v>
      </c>
      <c r="B8" s="31">
        <v>24.39741369240078</v>
      </c>
      <c r="C8" s="31">
        <v>25.10503314611244</v>
      </c>
      <c r="D8" s="31">
        <v>25.92337072786608</v>
      </c>
      <c r="E8" s="31">
        <v>26.883004798256597</v>
      </c>
      <c r="F8" s="31">
        <v>28.02691571357765</v>
      </c>
    </row>
    <row r="9" spans="1:6" x14ac:dyDescent="0.25">
      <c r="A9" s="30">
        <v>0.094312</v>
      </c>
      <c r="B9" s="31">
        <v>21.29363613715961</v>
      </c>
      <c r="C9" s="31">
        <v>21.732732266065227</v>
      </c>
      <c r="D9" s="31">
        <v>22.228128754323567</v>
      </c>
      <c r="E9" s="31">
        <v>22.7929569831744</v>
      </c>
      <c r="F9" s="31">
        <v>23.44477623419458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5042026000</v>
      </c>
      <c r="C5" s="18">
        <v>4789779000</v>
      </c>
      <c r="D5" s="18">
        <v>4304067000</v>
      </c>
      <c r="E5" s="18">
        <v>3619603000</v>
      </c>
      <c r="F5" s="8" t="s">
        <v>84</v>
      </c>
    </row>
    <row r="6" spans="1:6" x14ac:dyDescent="0.25">
      <c r="A6" t="s">
        <v>44</v>
      </c>
      <c r="B6" s="18">
        <v>836376000</v>
      </c>
      <c r="C6" s="18">
        <v>749386000</v>
      </c>
      <c r="D6" s="18">
        <v>688513000</v>
      </c>
      <c r="E6" s="18">
        <v>536495000</v>
      </c>
      <c r="F6" s="8" t="s">
        <v>85</v>
      </c>
    </row>
    <row r="7" spans="1:6" x14ac:dyDescent="0.25">
      <c r="A7" t="s">
        <v>86</v>
      </c>
      <c r="B7" s="18">
        <v>235703000</v>
      </c>
      <c r="C7" s="18">
        <v>210495000</v>
      </c>
      <c r="D7" s="18">
        <v>174079000</v>
      </c>
      <c r="E7" s="18">
        <v>144953000</v>
      </c>
      <c r="F7" s="8" t="s">
        <v>87</v>
      </c>
    </row>
    <row r="8" spans="1:6" x14ac:dyDescent="0.25">
      <c r="A8" t="s">
        <v>88</v>
      </c>
      <c r="B8" s="18">
        <v>198488000</v>
      </c>
      <c r="C8" s="18">
        <v>190919000</v>
      </c>
      <c r="D8" s="18">
        <v>177919000</v>
      </c>
      <c r="E8" s="18">
        <v>151587000</v>
      </c>
      <c r="F8" s="8" t="s">
        <v>89</v>
      </c>
    </row>
    <row r="9" spans="1:6" x14ac:dyDescent="0.25">
      <c r="A9" t="s">
        <v>90</v>
      </c>
      <c r="B9" s="18">
        <v>-41284000</v>
      </c>
      <c r="C9" s="18">
        <v>-41231000</v>
      </c>
      <c r="D9" s="18">
        <v>194416000</v>
      </c>
      <c r="E9" s="18">
        <v>158424000</v>
      </c>
      <c r="F9" s="8" t="s">
        <v>91</v>
      </c>
    </row>
    <row r="10" spans="1:6" x14ac:dyDescent="0.25">
      <c r="A10" t="s">
        <v>92</v>
      </c>
      <c r="B10" s="18">
        <v>1429591000</v>
      </c>
      <c r="C10" s="18">
        <v>1731605000</v>
      </c>
      <c r="D10" s="18">
        <v>2205291000</v>
      </c>
      <c r="E10" s="18">
        <v>1883228000</v>
      </c>
      <c r="F10" s="8" t="s">
        <v>93</v>
      </c>
    </row>
    <row r="11" spans="1:6" x14ac:dyDescent="0.25">
      <c r="A11" t="s">
        <v>94</v>
      </c>
      <c r="B11" s="18">
        <v>1046206000</v>
      </c>
      <c r="C11" s="18">
        <v>884435000</v>
      </c>
      <c r="D11" s="18">
        <v>855996000</v>
      </c>
      <c r="E11" s="18">
        <v>710050000</v>
      </c>
      <c r="F11" s="8" t="s">
        <v>95</v>
      </c>
    </row>
    <row r="12" spans="1:6" x14ac:dyDescent="0.25">
      <c r="A12" t="s">
        <v>32</v>
      </c>
      <c r="B12" s="34">
        <v>563300359</v>
      </c>
      <c r="C12" s="34">
        <v>563300359</v>
      </c>
      <c r="D12" s="34">
        <v>182864649</v>
      </c>
      <c r="E12" s="34">
        <v>182864649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2026-09-19T00:07:55Z</dcterms:modified>
</cp:coreProperties>
</file>