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<sst xmlns="http://schemas.openxmlformats.org/spreadsheetml/2006/main" count="120" uniqueCount="107">
  <si>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Quanta Services, Inc. (PWR)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</si>
  <si>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</si>
  <si>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</si>
  <si>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</si>
  <si>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</si>
  <si>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</si>
  <si>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</si>
  <si>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</si>
  <si>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</si>
  <si>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</si>
  <si>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</si>
  <si>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</si>
  <si>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</si>
  <si>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</si>
  <si>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</si>
  <si>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</si>
  <si>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</si>
  <si>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</si>
  <si>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</si>
  <si>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</si>
  <si>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</si>
  <si>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</si>
  <si>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</si>
  <si>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</si>
  <si>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6.1x interest cover. Book interest / average debt was lower, at 4.8%.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</si>
  <si>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</si>
  <si>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</si>
  <si>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</si>
  <si>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</si>
  <si>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</si>
  <si>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</si>
  <si>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</si>
  <si>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</si>
  <si>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</si>
  <si>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</si>
  <si>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</si>
  <si>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</si>
  <si>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</si>
  <si>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</si>
  <si>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</si>
  <si>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</si>
  <si>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</si>
  <si>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</si>
  <si>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</si>
  <si>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</si>
  <si>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</si>
  <si>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</si>
  <si>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</si>
  <si>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</si>
  <si>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</si>
  <si>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</si>
  <si>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</si>
  <si>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</si>
  <si>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</si>
  <si>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</si>
  <si>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</si>
  <si>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</si>
  <si>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</si>
  <si>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</si>
  <si>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</si>
  <si>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</si>
  <si>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</si>
  <si>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</si>
  <si>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</si>
  <si>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</si>
  <si>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</si>
  <si>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</si>
  <si>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</si>
  <si>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</si>
  <si>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</si>
  <si>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</si>
  <si>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</si>
  <si>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</si>
  <si>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</si>
  <si>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</si>
  <si>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</si>
  <si>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</si>
  <si>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</si>
  <si>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</si>
  <si>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</si>
  <si>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</si>
  <si>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</si>
  <si>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</si>
  <si>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</si>
  <si>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</si>
  <si>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</si>
  <si>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</si>
  <si>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</si>
  <si>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</si>
  <si>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</si>
  <si>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</si>
  <si>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</si>
  <si>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</si>
  <si>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</si>
  <si>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</si>
  <si>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</si>
  <si>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</si>
  <si>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</si>
  <si>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</si>
  <si>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</si>
  <si>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</si>
  <si>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</si>
  <si>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</si>
  <si>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</si>
  <si>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</si>
  <si>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39.8x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</si>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</sst>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0.4567608250888344</v>
      </c>
    </row>
    <row r="7" spans="1:2" x14ac:dyDescent="0.25">
      <c r="A7" t="s">
        <v>4</v>
      </c>
      <c r="B7" s="5">
        <v>0.05305429067903671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0.03261750484715073</v>
      </c>
    </row>
    <row r="10" spans="1:3" x14ac:dyDescent="0.25">
      <c r="A10" t="s">
        <v>7</v>
      </c>
      <c r="B10" s="5">
        <v>0.02319360027480563</v>
      </c>
      <c r="C10" s="6" t="s">
        <v>8</v>
      </c>
    </row>
    <row r="11" spans="1:2" x14ac:dyDescent="0.25">
      <c r="A11" t="s">
        <v>9</v>
      </c>
      <c r="B11" s="5">
        <v>0.14293896701345127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0.09529957421690233</v>
      </c>
      <c r="C14" s="6" t="s">
        <v>13</v>
      </c>
    </row>
    <row r="15" spans="1:3" x14ac:dyDescent="0.25">
      <c r="A15" t="s">
        <v>14</v>
      </c>
      <c r="B15" s="5">
        <v>0.01555169173135186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1.17889</v>
      </c>
      <c r="C19" s="6" t="s">
        <v>21</v>
      </c>
    </row>
    <row r="20" spans="1:2" x14ac:dyDescent="0.25">
      <c r="A20" t="s">
        <v>22</v>
      </c>
      <c r="B20" s="9">
        <f>B17+B19*B18</f>
        <v>0.09880704700000001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93529825280</v>
      </c>
    </row>
    <row r="23" spans="1:2" x14ac:dyDescent="0.25">
      <c r="A23" t="s">
        <v>26</v>
      </c>
      <c r="B23" s="10">
        <v>6418954000</v>
      </c>
    </row>
    <row r="24" spans="1:2" x14ac:dyDescent="0.25">
      <c r="A24" t="s">
        <v>27</v>
      </c>
      <c r="B24" s="9">
        <f>B22/(B22+B23)</f>
        <v>0.9357775648062923</v>
      </c>
    </row>
    <row r="25" spans="1:2" x14ac:dyDescent="0.25">
      <c r="A25" t="s">
        <v>28</v>
      </c>
      <c r="B25" s="9">
        <f>1-B24</f>
        <v>0.06422243519370774</v>
      </c>
    </row>
    <row r="26" spans="1:2" x14ac:dyDescent="0.25">
      <c r="A26" t="s">
        <v>29</v>
      </c>
      <c r="B26" s="11">
        <f>B24*B20+B25*B21*(1-B8)</f>
        <v>0.09529957421690233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28479697000</v>
      </c>
      <c r="C29" s="6" t="s">
        <v>32</v>
      </c>
    </row>
    <row r="30" spans="1:2" x14ac:dyDescent="0.25">
      <c r="A30" t="s">
        <v>33</v>
      </c>
      <c r="B30" s="10">
        <v>5979446000</v>
      </c>
    </row>
    <row r="31" spans="1:2" x14ac:dyDescent="0.25">
      <c r="A31" t="s">
        <v>34</v>
      </c>
      <c r="B31" s="12">
        <v>151291000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0.4567608250888344</v>
      </c>
      <c r="C5" s="5">
        <v>0.1175202857954456</v>
      </c>
      <c r="D5" s="5">
        <v>0.1059552500710149</v>
      </c>
      <c r="E5" s="5">
        <v>0.0943902143465842</v>
      </c>
      <c r="F5" s="5">
        <v>0.0828251786221535</v>
      </c>
      <c r="G5" s="5">
        <v>0.0712601428977228</v>
      </c>
      <c r="H5" s="5">
        <v>0.0596951071732921</v>
      </c>
      <c r="I5" s="5">
        <v>0.04813007144886139</v>
      </c>
      <c r="J5" s="5">
        <v>0.03656503572443069</v>
      </c>
      <c r="K5" s="5">
        <v>0.024999999999999994</v>
      </c>
    </row>
    <row r="6" spans="1:11" x14ac:dyDescent="0.25">
      <c r="A6" t="s">
        <v>50</v>
      </c>
      <c r="B6" s="18">
        <f>Assumptions!B29*(1+B5)</f>
        <v>41488106900</v>
      </c>
      <c r="C6" s="18">
        <f>B6*(1+C5)</f>
        <v>46363801080</v>
      </c>
      <c r="D6" s="18">
        <f>C6*(1+D5)</f>
        <v>51276289217.67419</v>
      </c>
      <c r="E6" s="18">
        <f>D6*(1+E5)</f>
        <v>56116269147.827896</v>
      </c>
      <c r="F6" s="18">
        <f>E6*(1+F5)</f>
        <v>60764109163.60558</v>
      </c>
      <c r="G6" s="18">
        <f>F6*(1+G5)</f>
        <v>65094168265.65695</v>
      </c>
      <c r="H6" s="18">
        <f>G6*(1+H5)</f>
        <v>68979971616.63165</v>
      </c>
      <c r="I6" s="18">
        <f>H6*(1+I5)</f>
        <v>72299982579.08057</v>
      </c>
      <c r="J6" s="18">
        <f>I6*(1+J5)</f>
        <v>74943634024.96036</v>
      </c>
      <c r="K6" s="18">
        <f>J6*(1+K5)</f>
        <v>76817224875.58437</v>
      </c>
    </row>
    <row r="7" spans="1:11" x14ac:dyDescent="0.25">
      <c r="A7" t="s">
        <v>4</v>
      </c>
      <c r="B7" s="9">
        <f>Assumptions!B7</f>
        <v>0.05305429067903671</v>
      </c>
      <c r="C7" s="9">
        <f>Assumptions!B7</f>
        <v>0.05305429067903671</v>
      </c>
      <c r="D7" s="9">
        <f>Assumptions!B7</f>
        <v>0.05305429067903671</v>
      </c>
      <c r="E7" s="9">
        <f>Assumptions!B7</f>
        <v>0.05305429067903671</v>
      </c>
      <c r="F7" s="9">
        <f>Assumptions!B7</f>
        <v>0.05305429067903671</v>
      </c>
      <c r="G7" s="9">
        <f>Assumptions!B7</f>
        <v>0.05305429067903671</v>
      </c>
      <c r="H7" s="9">
        <f>Assumptions!B7</f>
        <v>0.05305429067903671</v>
      </c>
      <c r="I7" s="9">
        <f>Assumptions!B7</f>
        <v>0.05305429067903671</v>
      </c>
      <c r="J7" s="9">
        <f>Assumptions!B7</f>
        <v>0.05305429067903671</v>
      </c>
      <c r="K7" s="9">
        <f>Assumptions!B7</f>
        <v>0.05305429067903671</v>
      </c>
    </row>
    <row r="8" spans="1:11" x14ac:dyDescent="0.25">
      <c r="A8" t="s">
        <v>51</v>
      </c>
      <c r="B8" s="18">
        <f>B6*B7</f>
        <v>2201122083.1955485</v>
      </c>
      <c r="C8" s="18">
        <f>C6*C7</f>
        <v>2459798579.4833565</v>
      </c>
      <c r="D8" s="18">
        <f>D6*D7</f>
        <v>2720427153.0968423</v>
      </c>
      <c r="E8" s="18">
        <f>E6*E7</f>
        <v>2977208855.191921</v>
      </c>
      <c r="F8" s="18">
        <f>F6*F7</f>
        <v>3223796710.418649</v>
      </c>
      <c r="G8" s="18">
        <f>G6*G7</f>
        <v>3453524924.676291</v>
      </c>
      <c r="H8" s="18">
        <f>H6*H7</f>
        <v>3659683465.1804776</v>
      </c>
      <c r="I8" s="18">
        <f>I6*I7</f>
        <v>3835824291.839831</v>
      </c>
      <c r="J8" s="18">
        <f>J6*J7</f>
        <v>3976081344.103593</v>
      </c>
      <c r="K8" s="18">
        <f>K6*K7</f>
        <v>4075483377.706183</v>
      </c>
    </row>
    <row r="9" spans="1:11" x14ac:dyDescent="0.25">
      <c r="A9" t="s">
        <v>52</v>
      </c>
      <c r="B9" s="18">
        <f>B8*(1-Assumptions!B8)</f>
        <v>1738886445.7244835</v>
      </c>
      <c r="C9" s="18">
        <f>C8*(1-Assumptions!B8)</f>
        <v>1943240877.7918518</v>
      </c>
      <c r="D9" s="18">
        <f>D8*(1-Assumptions!B8)</f>
        <v>2149137450.9465055</v>
      </c>
      <c r="E9" s="18">
        <f>E8*(1-Assumptions!B8)</f>
        <v>2351994995.601618</v>
      </c>
      <c r="F9" s="18">
        <f>F8*(1-Assumptions!B8)</f>
        <v>2546799401.230733</v>
      </c>
      <c r="G9" s="18">
        <f>G8*(1-Assumptions!B8)</f>
        <v>2728284690.49427</v>
      </c>
      <c r="H9" s="18">
        <f>H8*(1-Assumptions!B8)</f>
        <v>2891149937.4925776</v>
      </c>
      <c r="I9" s="18">
        <f>I8*(1-Assumptions!B8)</f>
        <v>3030301190.5534663</v>
      </c>
      <c r="J9" s="18">
        <f>J8*(1-Assumptions!B8)</f>
        <v>3141104261.8418384</v>
      </c>
      <c r="K9" s="18">
        <f>K8*(1-Assumptions!B8)</f>
        <v>3219631868.3878846</v>
      </c>
    </row>
    <row r="10" spans="1:11" x14ac:dyDescent="0.25">
      <c r="A10" t="s">
        <v>53</v>
      </c>
      <c r="B10" s="18">
        <f>B6*Assumptions!B9</f>
        <v>1353238527.9098577</v>
      </c>
      <c r="C10" s="18">
        <f>C6*Assumptions!B9</f>
        <v>1512271506.4592323</v>
      </c>
      <c r="D10" s="18">
        <f>D6*Assumptions!B9</f>
        <v>1672504612.1013906</v>
      </c>
      <c r="E10" s="18">
        <f>E6*Assumptions!B9</f>
        <v>1830372680.9332914</v>
      </c>
      <c r="F10" s="18">
        <f>F6*Assumptions!B9</f>
        <v>1981973625.1767013</v>
      </c>
      <c r="G10" s="18">
        <f>G6*Assumptions!B9</f>
        <v>2123209348.9263108</v>
      </c>
      <c r="H10" s="18">
        <f>H6*Assumptions!B9</f>
        <v>2249954558.561803</v>
      </c>
      <c r="I10" s="18">
        <f>I6*Assumptions!B9</f>
        <v>2358245032.2220736</v>
      </c>
      <c r="J10" s="18">
        <f>J6*Assumptions!B9</f>
        <v>2444474346.0722346</v>
      </c>
      <c r="K10" s="18">
        <f>K6*Assumptions!B9</f>
        <v>2505586204.7240405</v>
      </c>
    </row>
    <row r="11" spans="1:11" x14ac:dyDescent="0.25">
      <c r="A11" t="s">
        <v>54</v>
      </c>
      <c r="B11" s="18">
        <f>-B6*B19</f>
        <v>-962258567.5970054</v>
      </c>
      <c r="C11" s="18">
        <f>-C6*C19</f>
        <v>-1110836851.3254433</v>
      </c>
      <c r="D11" s="18">
        <f>-D6*D19</f>
        <v>-1267789939.7013977</v>
      </c>
      <c r="E11" s="18">
        <f>-E6*E19</f>
        <v>-1430416198.0203197</v>
      </c>
      <c r="F11" s="18">
        <f>-F6*F19</f>
        <v>-1595408080.5020585</v>
      </c>
      <c r="G11" s="18">
        <f>-G6*G19</f>
        <v>-1758929330.629875</v>
      </c>
      <c r="H11" s="18">
        <f>-H6*H19</f>
        <v>-1916735788.909768</v>
      </c>
      <c r="I11" s="18">
        <f>-I6*I19</f>
        <v>-2064337006.6392484</v>
      </c>
      <c r="J11" s="18">
        <f>-J6*J19</f>
        <v>-2197191973.3654227</v>
      </c>
      <c r="K11" s="18">
        <f>-K6*K19</f>
        <v>-2310928493.2889833</v>
      </c>
    </row>
    <row r="12" spans="1:11" x14ac:dyDescent="0.25">
      <c r="A12" t="s">
        <v>55</v>
      </c>
      <c r="B12" s="18">
        <f>-(B6-Assumptions!B29)*Assumptions!B11</f>
        <v>-1859408673.5935528</v>
      </c>
      <c r="C12" s="18">
        <f>-(C6-B6)*Assumptions!B11</f>
        <v>-696926689.5626963</v>
      </c>
      <c r="D12" s="18">
        <f>-(D6-C6)*Assumptions!B11</f>
        <v>-702185979.8649812</v>
      </c>
      <c r="E12" s="18">
        <f>-(E6-D6)*Assumptions!B11</f>
        <v>-691821731.5820073</v>
      </c>
      <c r="F12" s="18">
        <f>-(F6-E6)*Assumptions!B11</f>
        <v>-664357450.6990457</v>
      </c>
      <c r="G12" s="18">
        <f>-(G6-F6)*Assumptions!B11</f>
        <v>-618934175.154415</v>
      </c>
      <c r="H12" s="18">
        <f>-(H6-G6)*Assumptions!B11</f>
        <v>-555432717.0057312</v>
      </c>
      <c r="I12" s="18">
        <f>-(I6-H6)*Assumptions!B11</f>
        <v>-474558937.4457818</v>
      </c>
      <c r="J12" s="18">
        <f>-(J6-I6)*Assumptions!B11</f>
        <v>-377880806.8176742</v>
      </c>
      <c r="K12" s="18">
        <f>-(K6-J6)*Assumptions!B11</f>
        <v>-267809140.7940492</v>
      </c>
    </row>
    <row r="13" spans="1:11" x14ac:dyDescent="0.25">
      <c r="A13" s="19" t="s">
        <v>56</v>
      </c>
      <c r="B13" s="20">
        <f>B9+B10+B11+B12</f>
        <v>270457732.44378304</v>
      </c>
      <c r="C13" s="20">
        <f>C9+C10+C11+C12</f>
        <v>1647748843.3629446</v>
      </c>
      <c r="D13" s="20">
        <f>D9+D10+D11+D12</f>
        <v>1851666143.4815173</v>
      </c>
      <c r="E13" s="20">
        <f>E9+E10+E11+E12</f>
        <v>2060129746.932582</v>
      </c>
      <c r="F13" s="20">
        <f>F9+F10+F11+F12</f>
        <v>2269007495.2063303</v>
      </c>
      <c r="G13" s="20">
        <f>G9+G10+G11+G12</f>
        <v>2473630533.6362906</v>
      </c>
      <c r="H13" s="20">
        <f>H9+H10+H11+H12</f>
        <v>2668935990.138881</v>
      </c>
      <c r="I13" s="20">
        <f>I9+I10+I11+I12</f>
        <v>2849650278.6905093</v>
      </c>
      <c r="J13" s="20">
        <f>J9+J10+J11+J12</f>
        <v>3010505827.730976</v>
      </c>
      <c r="K13" s="20">
        <f>K9+K10+K11+K12</f>
        <v>3146480439.0288925</v>
      </c>
    </row>
    <row r="14" spans="1:11" x14ac:dyDescent="0.25">
      <c r="A14" t="s">
        <v>57</v>
      </c>
      <c r="B14" s="21">
        <f>1/(1+Assumptions!$B$26)^(1-0.5*Assumptions!$B$32)</f>
        <v>0.9555062685747957</v>
      </c>
      <c r="C14" s="21">
        <f>1/(1+Assumptions!$B$26)^(2-0.5*Assumptions!$B$32)</f>
        <v>0.8723697982425918</v>
      </c>
      <c r="D14" s="21">
        <f>1/(1+Assumptions!$B$26)^(3-0.5*Assumptions!$B$32)</f>
        <v>0.7964668468590459</v>
      </c>
      <c r="E14" s="21">
        <f>1/(1+Assumptions!$B$26)^(4-0.5*Assumptions!$B$32)</f>
        <v>0.7271680420660162</v>
      </c>
      <c r="F14" s="21">
        <f>1/(1+Assumptions!$B$26)^(5-0.5*Assumptions!$B$32)</f>
        <v>0.6638987717911913</v>
      </c>
      <c r="G14" s="21">
        <f>1/(1+Assumptions!$B$26)^(6-0.5*Assumptions!$B$32)</f>
        <v>0.6061344196776975</v>
      </c>
      <c r="H14" s="21">
        <f>1/(1+Assumptions!$B$26)^(7-0.5*Assumptions!$B$32)</f>
        <v>0.5533960150683531</v>
      </c>
      <c r="I14" s="21">
        <f>1/(1+Assumptions!$B$26)^(8-0.5*Assumptions!$B$32)</f>
        <v>0.5052462614750948</v>
      </c>
      <c r="J14" s="21">
        <f>1/(1+Assumptions!$B$26)^(9-0.5*Assumptions!$B$32)</f>
        <v>0.4612859106024274</v>
      </c>
      <c r="K14" s="21">
        <f>1/(1+Assumptions!$B$26)^(10-0.5*Assumptions!$B$32)</f>
        <v>0.421150451859008</v>
      </c>
    </row>
    <row r="15" spans="1:11" x14ac:dyDescent="0.25">
      <c r="A15" s="19" t="s">
        <v>58</v>
      </c>
      <c r="B15" s="20">
        <f>B13*B14</f>
        <v>258424058.7345596</v>
      </c>
      <c r="C15" s="20">
        <f>C13*C14</f>
        <v>1437446326.038996</v>
      </c>
      <c r="D15" s="20">
        <f>D13*D14</f>
        <v>1474790694.7343738</v>
      </c>
      <c r="E15" s="20">
        <f>E13*E14</f>
        <v>1498060514.4789228</v>
      </c>
      <c r="F15" s="20">
        <f>F13*F14</f>
        <v>1506391289.25249</v>
      </c>
      <c r="G15" s="20">
        <f>G13*G14</f>
        <v>1499352608.0026662</v>
      </c>
      <c r="H15" s="20">
        <f>H13*H14</f>
        <v>1476978541.4153662</v>
      </c>
      <c r="I15" s="20">
        <f>I13*I14</f>
        <v>1439775149.8198419</v>
      </c>
      <c r="J15" s="20">
        <f>J13*J14</f>
        <v>1388703922.1187978</v>
      </c>
      <c r="K15" s="20">
        <f>K13*K14</f>
        <v>1325141658.662548</v>
      </c>
    </row>
    <row r="17" spans="1:2" x14ac:dyDescent="0.25">
      <c r="A17" s="22" t="s">
        <v>59</v>
      </c>
      <c r="B17" s="23">
        <f>SUM(B15:K15)</f>
        <v>13305064763.258562</v>
      </c>
    </row>
    <row r="19" spans="1:11" x14ac:dyDescent="0.25">
      <c r="A19" t="s">
        <v>7</v>
      </c>
      <c r="B19" s="9">
        <f>Assumptions!$B$10+($B$20-Assumptions!$B$10)*0/9</f>
        <v>0.02319360027480563</v>
      </c>
      <c r="C19" s="9">
        <f>Assumptions!$B$10+($B$20-Assumptions!$B$10)*1/9</f>
        <v>0.02395914108527711</v>
      </c>
      <c r="D19" s="9">
        <f>Assumptions!$B$10+($B$20-Assumptions!$B$10)*2/9</f>
        <v>0.02472468189574859</v>
      </c>
      <c r="E19" s="9">
        <f>Assumptions!$B$10+($B$20-Assumptions!$B$10)*3/9</f>
        <v>0.025490222706220075</v>
      </c>
      <c r="F19" s="9">
        <f>Assumptions!$B$10+($B$20-Assumptions!$B$10)*4/9</f>
        <v>0.026255763516691556</v>
      </c>
      <c r="G19" s="9">
        <f>Assumptions!$B$10+($B$20-Assumptions!$B$10)*5/9</f>
        <v>0.027021304327163036</v>
      </c>
      <c r="H19" s="9">
        <f>Assumptions!$B$10+($B$20-Assumptions!$B$10)*6/9</f>
        <v>0.027786845137634516</v>
      </c>
      <c r="I19" s="9">
        <f>Assumptions!$B$10+($B$20-Assumptions!$B$10)*7/9</f>
        <v>0.028552385948105996</v>
      </c>
      <c r="J19" s="9">
        <f>Assumptions!$B$10+($B$20-Assumptions!$B$10)*8/9</f>
        <v>0.02931792675857748</v>
      </c>
      <c r="K19" s="9">
        <f>Assumptions!$B$10+($B$20-Assumptions!$B$10)*9/9</f>
        <v>0.03008346756904896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0.03008346756904896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3146480439.0288925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4255281107.39069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0.26233065787995935</v>
      </c>
    </row>
    <row r="7" spans="1:2" x14ac:dyDescent="0.25">
      <c r="A7" t="s">
        <v>66</v>
      </c>
      <c r="B7" s="18">
        <f>-MAX(B5,0)*B6</f>
        <v>-1116290692.3659616</v>
      </c>
    </row>
    <row r="8" spans="1:2" x14ac:dyDescent="0.25">
      <c r="A8" t="s">
        <v>67</v>
      </c>
      <c r="B8" s="18">
        <f>IF(OR(Assumptions!$B$33=0,Assumptions!B12&lt;=0),B5,MAX(B5+B7,0))</f>
        <v>3138990415.0247283</v>
      </c>
    </row>
    <row r="9" spans="1:2" x14ac:dyDescent="0.25">
      <c r="A9" t="s">
        <v>68</v>
      </c>
      <c r="B9" s="18">
        <f>B8*(1+Assumptions!B12)/(Assumptions!B26-Assumptions!B12)</f>
        <v>45767918387.004425</v>
      </c>
    </row>
    <row r="10" spans="1:2" x14ac:dyDescent="0.25">
      <c r="A10" t="s">
        <v>69</v>
      </c>
      <c r="B10" s="18">
        <f>B9/(1+Assumptions!B26)^(10-0.5*Assumptions!B32)</f>
        <v>19275179509.333115</v>
      </c>
    </row>
    <row r="11" spans="1:2" x14ac:dyDescent="0.25">
      <c r="A11" t="s">
        <v>70</v>
      </c>
      <c r="B11" s="18">
        <f>Forecast!B17+B10</f>
        <v>32580244272.591675</v>
      </c>
    </row>
    <row r="12" spans="1:2" x14ac:dyDescent="0.25">
      <c r="A12" t="s">
        <v>71</v>
      </c>
      <c r="B12" s="18">
        <f>-Assumptions!B30</f>
        <v>-5979446000</v>
      </c>
    </row>
    <row r="13" spans="1:2" x14ac:dyDescent="0.25">
      <c r="A13" t="s">
        <v>72</v>
      </c>
      <c r="B13" s="18">
        <f>B11+B12</f>
        <v>26600798272.591675</v>
      </c>
    </row>
    <row r="14" spans="1:2" x14ac:dyDescent="0.25">
      <c r="A14" s="19" t="s">
        <v>73</v>
      </c>
      <c r="B14" s="24">
        <f>B13/Assumptions!B31</f>
        <v>175.82538467319057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6581069582.430223</v>
      </c>
    </row>
    <row r="18" spans="1:2" x14ac:dyDescent="0.25">
      <c r="A18" t="s">
        <v>68</v>
      </c>
      <c r="B18" s="18">
        <f>B17*Assumptions!B13</f>
        <v>131621391648.60446</v>
      </c>
    </row>
    <row r="19" spans="1:2" x14ac:dyDescent="0.25">
      <c r="A19" t="s">
        <v>69</v>
      </c>
      <c r="B19" s="18">
        <f>B18/(1+Assumptions!B26)^(10-0.5*Assumptions!B32)</f>
        <v>55432408567.12123</v>
      </c>
    </row>
    <row r="20" spans="1:2" x14ac:dyDescent="0.25">
      <c r="A20" t="s">
        <v>70</v>
      </c>
      <c r="B20" s="18">
        <f>Forecast!B17+B19</f>
        <v>68737473330.37979</v>
      </c>
    </row>
    <row r="21" spans="1:2" x14ac:dyDescent="0.25">
      <c r="A21" t="s">
        <v>71</v>
      </c>
      <c r="B21" s="18">
        <f>-Assumptions!B30</f>
        <v>-5979446000</v>
      </c>
    </row>
    <row r="22" spans="1:2" x14ac:dyDescent="0.25">
      <c r="A22" t="s">
        <v>72</v>
      </c>
      <c r="B22" s="18">
        <f>B20+B21</f>
        <v>62758027330.37979</v>
      </c>
    </row>
    <row r="23" spans="1:2" x14ac:dyDescent="0.25">
      <c r="A23" s="19" t="s">
        <v>73</v>
      </c>
      <c r="B23" s="25">
        <f>B22/Assumptions!B31</f>
        <v>414.81666014752886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620.73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175.82538467319057</v>
      </c>
    </row>
    <row r="29" spans="1:2" x14ac:dyDescent="0.25">
      <c r="A29" s="19" t="s">
        <v>81</v>
      </c>
      <c r="B29" s="11">
        <f>B28/B26-1</f>
        <v>-0.7167441807658876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0.0753</v>
      </c>
      <c r="B5" s="31">
        <v>258.59704659695774</v>
      </c>
      <c r="C5" s="31">
        <v>257.027909989098</v>
      </c>
      <c r="D5" s="31">
        <v>255.88874701007745</v>
      </c>
      <c r="E5" s="31">
        <v>255.32193303368413</v>
      </c>
      <c r="F5" s="31">
        <v>255.5405011874466</v>
      </c>
    </row>
    <row r="6" spans="1:6" x14ac:dyDescent="0.25">
      <c r="A6" s="30">
        <v>0.0853</v>
      </c>
      <c r="B6" s="31">
        <v>212.83706896587265</v>
      </c>
      <c r="C6" s="31">
        <v>209.396771724223</v>
      </c>
      <c r="D6" s="31">
        <v>205.95647448257327</v>
      </c>
      <c r="E6" s="31">
        <v>202.5161772409236</v>
      </c>
      <c r="F6" s="31">
        <v>199.0758799992739</v>
      </c>
    </row>
    <row r="7" spans="1:6" x14ac:dyDescent="0.25">
      <c r="A7" s="30">
        <v>0.0953</v>
      </c>
      <c r="B7" s="31">
        <v>181.64919376457732</v>
      </c>
      <c r="C7" s="31">
        <v>178.73671757295017</v>
      </c>
      <c r="D7" s="32">
        <v>175.824241381323</v>
      </c>
      <c r="E7" s="31">
        <v>172.91176518969587</v>
      </c>
      <c r="F7" s="31">
        <v>169.99928899806866</v>
      </c>
    </row>
    <row r="8" spans="1:6" x14ac:dyDescent="0.25">
      <c r="A8" s="30">
        <v>0.1053</v>
      </c>
      <c r="B8" s="31">
        <v>156.6158312943899</v>
      </c>
      <c r="C8" s="31">
        <v>154.12067100742522</v>
      </c>
      <c r="D8" s="31">
        <v>151.62551072046043</v>
      </c>
      <c r="E8" s="31">
        <v>149.1303504334957</v>
      </c>
      <c r="F8" s="31">
        <v>146.63519014653096</v>
      </c>
    </row>
    <row r="9" spans="1:6" x14ac:dyDescent="0.25">
      <c r="A9" s="30">
        <v>0.1153</v>
      </c>
      <c r="B9" s="31">
        <v>136.12088252738886</v>
      </c>
      <c r="C9" s="31">
        <v>133.96202607359228</v>
      </c>
      <c r="D9" s="31">
        <v>131.80316961979565</v>
      </c>
      <c r="E9" s="31">
        <v>129.64431316599908</v>
      </c>
      <c r="F9" s="31">
        <v>127.48545671220242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28479697000</v>
      </c>
      <c r="C5" s="18">
        <v>23672795000</v>
      </c>
      <c r="D5" s="18">
        <v>20882206000</v>
      </c>
      <c r="E5" s="18">
        <v>17073903000</v>
      </c>
      <c r="F5" s="6" t="s">
        <v>91</v>
      </c>
    </row>
    <row r="6" spans="1:6" x14ac:dyDescent="0.25">
      <c r="A6" t="s">
        <v>51</v>
      </c>
      <c r="B6" s="18">
        <v>1587077000</v>
      </c>
      <c r="C6" s="18">
        <v>1303048000</v>
      </c>
      <c r="D6" s="18">
        <v>1092935000</v>
      </c>
      <c r="E6" s="18">
        <v>838471000</v>
      </c>
      <c r="F6" s="6" t="s">
        <v>92</v>
      </c>
    </row>
    <row r="7" spans="1:6" x14ac:dyDescent="0.25">
      <c r="A7" t="s">
        <v>93</v>
      </c>
      <c r="B7" s="18">
        <v>910333000</v>
      </c>
      <c r="C7" s="18">
        <v>742322000</v>
      </c>
      <c r="D7" s="18">
        <v>613800000</v>
      </c>
      <c r="E7" s="18">
        <v>644620000</v>
      </c>
      <c r="F7" s="6" t="s">
        <v>94</v>
      </c>
    </row>
    <row r="8" spans="1:6" x14ac:dyDescent="0.25">
      <c r="A8" t="s">
        <v>95</v>
      </c>
      <c r="B8" s="18">
        <v>609154000</v>
      </c>
      <c r="C8" s="18">
        <v>604078000</v>
      </c>
      <c r="D8" s="18">
        <v>434803000</v>
      </c>
      <c r="E8" s="18">
        <v>427630000</v>
      </c>
      <c r="F8" s="6" t="s">
        <v>96</v>
      </c>
    </row>
    <row r="9" spans="1:6" x14ac:dyDescent="0.25">
      <c r="A9" t="s">
        <v>97</v>
      </c>
      <c r="B9" s="18">
        <v>-15978000</v>
      </c>
      <c r="C9" s="18">
        <v>-246166000</v>
      </c>
      <c r="D9" s="18">
        <v>-62617000</v>
      </c>
      <c r="E9" s="18">
        <v>229715000</v>
      </c>
      <c r="F9" s="6" t="s">
        <v>98</v>
      </c>
    </row>
    <row r="10" spans="1:6" x14ac:dyDescent="0.25">
      <c r="A10" t="s">
        <v>99</v>
      </c>
      <c r="B10" s="18">
        <v>6418954000</v>
      </c>
      <c r="C10" s="18">
        <v>4478957000</v>
      </c>
      <c r="D10" s="18">
        <v>4463697000</v>
      </c>
      <c r="E10" s="18">
        <v>3975491000</v>
      </c>
      <c r="F10" s="6" t="s">
        <v>100</v>
      </c>
    </row>
    <row r="11" spans="1:6" x14ac:dyDescent="0.25">
      <c r="A11" t="s">
        <v>101</v>
      </c>
      <c r="B11" s="18">
        <v>439508000</v>
      </c>
      <c r="C11" s="18">
        <v>741960000</v>
      </c>
      <c r="D11" s="18">
        <v>1290248000</v>
      </c>
      <c r="E11" s="18">
        <v>428505000</v>
      </c>
      <c r="F11" s="6" t="s">
        <v>102</v>
      </c>
    </row>
    <row r="12" spans="1:6" x14ac:dyDescent="0.25">
      <c r="A12" t="s">
        <v>34</v>
      </c>
      <c r="B12" s="34">
        <v>151291000</v>
      </c>
      <c r="C12" s="34">
        <v>150056000</v>
      </c>
      <c r="D12" s="34">
        <v>148823000</v>
      </c>
      <c r="E12" s="34">
        <v>147992000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