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<sst xmlns="http://schemas.openxmlformats.org/spreadsheetml/2006/main" count="114" uniqueCount="102">
  <si>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PEXA Group Limited (PXA.AX)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</si>
  <si>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</si>
  <si>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</si>
  <si>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</si>
  <si>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</si>
  <si>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</si>
  <si>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</si>
  <si>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</si>
  <si>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</si>
  <si>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</si>
  <si>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</si>
  <si>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</si>
  <si>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</si>
  <si>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</si>
  <si>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</si>
  <si>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</si>
  <si>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</si>
  <si>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</si>
  <si>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</si>
  <si>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</si>
  <si>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</si>
  <si>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</si>
  <si>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</si>
  <si>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</si>
  <si>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</si>
  <si>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</si>
  <si>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</si>
  <si>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</si>
  <si>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</si>
  <si>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</si>
  <si>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</si>
  <si>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</si>
  <si>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</si>
  <si>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</si>
  <si>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</si>
  <si>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</si>
  <si>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</si>
  <si>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</si>
  <si>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</si>
  <si>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</si>
  <si>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</si>
  <si>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</si>
  <si>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</si>
  <si>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</si>
  <si>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</si>
  <si>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</si>
  <si>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</si>
  <si>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</si>
  <si>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</si>
  <si>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</si>
  <si>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</si>
  <si>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</si>
  <si>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</si>
  <si>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</si>
  <si>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</si>
  <si>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</si>
  <si>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</si>
  <si>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</si>
  <si>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</si>
  <si>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</si>
  <si>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</si>
  <si>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</si>
  <si>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</si>
  <si>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</si>
  <si>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</si>
  <si>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</si>
  <si>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</si>
  <si>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</si>
  <si>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</si>
  <si>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</si>
  <si>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</si>
  <si>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</si>
  <si>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</si>
  <si>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</si>
  <si>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</si>
  <si>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</si>
  <si>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</si>
  <si>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</si>
  <si>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</si>
  <si>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</si>
  <si>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</si>
  <si>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</si>
  <si>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</si>
  <si>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</si>
  <si>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</si>
  <si>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</si>
  <si>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</si>
  <si>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</si>
  <si>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</si>
  <si>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</si>
  <si>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</si>
  <si>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</si>
  <si>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</si>
  <si>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</si>
  <si>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</si>
  <si>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</si>
  <si>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</si>
  <si>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</si>
  <si>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Wrong tool: This model values the shares at 7.5%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</si>
  <si>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</si>
  <si>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Reported capital expenditure averages 12.82% of revenue against depreciation and amortisation of 26.36%. A business cannot depreciate more than it invests indefinitely. Capex has been set to 26.36%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</si>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</sst>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0.1312732613156513</v>
      </c>
    </row>
    <row r="7" spans="1:2" x14ac:dyDescent="0.25">
      <c r="A7" t="s">
        <v>5</v>
      </c>
      <c r="B7" s="6">
        <v>0.03635325659319062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0.263576046415474</v>
      </c>
    </row>
    <row r="10" spans="1:2" x14ac:dyDescent="0.25">
      <c r="A10" t="s">
        <v>8</v>
      </c>
      <c r="B10" s="6">
        <v>0.263576046415474</v>
      </c>
    </row>
    <row r="11" spans="1:2" x14ac:dyDescent="0.25">
      <c r="A11" t="s">
        <v>9</v>
      </c>
      <c r="B11" s="6">
        <v>-0.12650024381419786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9.726387427477047</v>
      </c>
    </row>
    <row r="14" spans="1:3" x14ac:dyDescent="0.25">
      <c r="A14" t="s">
        <v>12</v>
      </c>
      <c r="B14" s="6">
        <v>0.0823579747504181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0.6174299999999999</v>
      </c>
      <c r="C19" s="8" t="s">
        <v>19</v>
      </c>
    </row>
    <row r="20" spans="1:2" x14ac:dyDescent="0.25">
      <c r="A20" t="s">
        <v>20</v>
      </c>
      <c r="B20" s="10">
        <f>B17+B19*B18</f>
        <v>0.09052579999999999</v>
      </c>
    </row>
    <row r="21" spans="1:3" x14ac:dyDescent="0.25">
      <c r="A21" t="s">
        <v>21</v>
      </c>
      <c r="B21" s="6">
        <v>0.05689805928960915</v>
      </c>
      <c r="C21" s="8" t="s">
        <v>22</v>
      </c>
    </row>
    <row r="22" spans="1:2" x14ac:dyDescent="0.25">
      <c r="A22" t="s">
        <v>23</v>
      </c>
      <c r="B22" s="11">
        <v>1212200448</v>
      </c>
    </row>
    <row r="23" spans="1:2" x14ac:dyDescent="0.25">
      <c r="A23" t="s">
        <v>24</v>
      </c>
      <c r="B23" s="11">
        <v>232805000</v>
      </c>
    </row>
    <row r="24" spans="1:2" x14ac:dyDescent="0.25">
      <c r="A24" t="s">
        <v>25</v>
      </c>
      <c r="B24" s="10">
        <f>B22/(B22+B23)</f>
        <v>0.838889880780574</v>
      </c>
    </row>
    <row r="25" spans="1:2" x14ac:dyDescent="0.25">
      <c r="A25" t="s">
        <v>26</v>
      </c>
      <c r="B25" s="10">
        <f>1-B24</f>
        <v>0.16111011921942597</v>
      </c>
    </row>
    <row r="26" spans="1:2" x14ac:dyDescent="0.25">
      <c r="A26" t="s">
        <v>27</v>
      </c>
      <c r="B26" s="12">
        <f>B24*B20+B25*B21*(1-B8)</f>
        <v>0.0823579747504181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400288000</v>
      </c>
      <c r="C29" s="8" t="s">
        <v>30</v>
      </c>
    </row>
    <row r="30" spans="1:2" x14ac:dyDescent="0.25">
      <c r="A30" t="s">
        <v>31</v>
      </c>
      <c r="B30" s="11">
        <v>169180000</v>
      </c>
    </row>
    <row r="31" spans="1:2" x14ac:dyDescent="0.25">
      <c r="A31" t="s">
        <v>32</v>
      </c>
      <c r="B31" s="13">
        <v>175936202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0.1312732613156513</v>
      </c>
      <c r="C5" s="10">
        <f>Assumptions!B6</f>
        <v>0.1312732613156513</v>
      </c>
      <c r="D5" s="10">
        <f>Assumptions!B6</f>
        <v>0.1312732613156513</v>
      </c>
      <c r="E5" s="10">
        <f>Assumptions!B6</f>
        <v>0.1312732613156513</v>
      </c>
      <c r="F5" s="10">
        <f>Assumptions!B6</f>
        <v>0.1312732613156513</v>
      </c>
    </row>
    <row r="6" spans="1:6" x14ac:dyDescent="0.25">
      <c r="A6" t="s">
        <v>43</v>
      </c>
      <c r="B6" s="18">
        <f>Assumptions!B29*(1+B5)</f>
        <v>452835111.2255194</v>
      </c>
      <c r="C6" s="18">
        <f>B6*(1+C5)</f>
        <v>512280253.11432904</v>
      </c>
      <c r="D6" s="18">
        <f>C6*(1+D5)</f>
        <v>579528952.6482544</v>
      </c>
      <c r="E6" s="18">
        <f>D6*(1+E5)</f>
        <v>655605608.2892344</v>
      </c>
      <c r="F6" s="18">
        <f>E6*(1+F5)</f>
        <v>741669094.6261936</v>
      </c>
    </row>
    <row r="7" spans="1:6" x14ac:dyDescent="0.25">
      <c r="A7" t="s">
        <v>5</v>
      </c>
      <c r="B7" s="10">
        <f>Assumptions!B7</f>
        <v>0.03635325659319062</v>
      </c>
      <c r="C7" s="10">
        <f>Assumptions!B7</f>
        <v>0.03635325659319062</v>
      </c>
      <c r="D7" s="10">
        <f>Assumptions!B7</f>
        <v>0.03635325659319062</v>
      </c>
      <c r="E7" s="10">
        <f>Assumptions!B7</f>
        <v>0.03635325659319062</v>
      </c>
      <c r="F7" s="10">
        <f>Assumptions!B7</f>
        <v>0.03635325659319062</v>
      </c>
    </row>
    <row r="8" spans="1:6" x14ac:dyDescent="0.25">
      <c r="A8" t="s">
        <v>44</v>
      </c>
      <c r="B8" s="18">
        <f>B6*B7</f>
        <v>16462030.992787322</v>
      </c>
      <c r="C8" s="18">
        <f>C6*C7</f>
        <v>18623055.489089843</v>
      </c>
      <c r="D8" s="18">
        <f>D6*D7</f>
        <v>21067764.71880501</v>
      </c>
      <c r="E8" s="18">
        <f>E6*E7</f>
        <v>23833398.902073357</v>
      </c>
      <c r="F8" s="18">
        <f>F6*F7</f>
        <v>26962086.904185392</v>
      </c>
    </row>
    <row r="9" spans="1:6" x14ac:dyDescent="0.25">
      <c r="A9" t="s">
        <v>45</v>
      </c>
      <c r="B9" s="18">
        <f>B8*(1-Assumptions!B8)</f>
        <v>11523421.694951124</v>
      </c>
      <c r="C9" s="18">
        <f>C8*(1-Assumptions!B8)</f>
        <v>13036138.84236289</v>
      </c>
      <c r="D9" s="18">
        <f>D8*(1-Assumptions!B8)</f>
        <v>14747435.303163506</v>
      </c>
      <c r="E9" s="18">
        <f>E8*(1-Assumptions!B8)</f>
        <v>16683379.23145135</v>
      </c>
      <c r="F9" s="18">
        <f>F8*(1-Assumptions!B8)</f>
        <v>18873460.83292977</v>
      </c>
    </row>
    <row r="10" spans="1:6" x14ac:dyDescent="0.25">
      <c r="A10" t="s">
        <v>46</v>
      </c>
      <c r="B10" s="18">
        <f>B6*Assumptions!B9</f>
        <v>119356488.29493384</v>
      </c>
      <c r="C10" s="18">
        <f>C6*Assumptions!B9</f>
        <v>135024803.77259317</v>
      </c>
      <c r="D10" s="18">
        <f>D6*Assumptions!B9</f>
        <v>152749950.12232733</v>
      </c>
      <c r="E10" s="18">
        <f>E6*Assumptions!B9</f>
        <v>172801934.24068832</v>
      </c>
      <c r="F10" s="18">
        <f>F6*Assumptions!B9</f>
        <v>195486207.71011618</v>
      </c>
    </row>
    <row r="11" spans="1:6" x14ac:dyDescent="0.25">
      <c r="A11" t="s">
        <v>47</v>
      </c>
      <c r="B11" s="18">
        <f>-B6*Assumptions!B10</f>
        <v>-119356488.29493384</v>
      </c>
      <c r="C11" s="18">
        <f>-C6*Assumptions!B10</f>
        <v>-135024803.77259317</v>
      </c>
      <c r="D11" s="18">
        <f>-D6*Assumptions!B10</f>
        <v>-152749950.12232733</v>
      </c>
      <c r="E11" s="18">
        <f>-E6*Assumptions!B10</f>
        <v>-172801934.24068832</v>
      </c>
      <c r="F11" s="18">
        <f>-F6*Assumptions!B10</f>
        <v>-195486207.71011618</v>
      </c>
    </row>
    <row r="12" spans="1:6" x14ac:dyDescent="0.25">
      <c r="A12" t="s">
        <v>48</v>
      </c>
      <c r="B12" s="18">
        <f>-(B6-Assumptions!B29)*Assumptions!B11</f>
        <v>6647222.38175998</v>
      </c>
      <c r="C12" s="18">
        <f>-(C6-B6)*Assumptions!B11</f>
        <v>7519824.942504004</v>
      </c>
      <c r="D12" s="18">
        <f>-(D6-C6)*Assumptions!B11</f>
        <v>8506976.887229292</v>
      </c>
      <c r="E12" s="18">
        <f>-(E6-D6)*Assumptions!B11</f>
        <v>9623715.487152742</v>
      </c>
      <c r="F12" s="18">
        <f>-(F6-E6)*Assumptions!B11</f>
        <v>10887052.00512523</v>
      </c>
    </row>
    <row r="13" spans="1:6" x14ac:dyDescent="0.25">
      <c r="A13" s="19" t="s">
        <v>49</v>
      </c>
      <c r="B13" s="20">
        <f>B9+B10+B11+B12</f>
        <v>18170644.07671111</v>
      </c>
      <c r="C13" s="20">
        <f>C9+C10+C11+C12</f>
        <v>20555963.784866884</v>
      </c>
      <c r="D13" s="20">
        <f>D9+D10+D11+D12</f>
        <v>23254412.190392792</v>
      </c>
      <c r="E13" s="20">
        <f>E9+E10+E11+E12</f>
        <v>26307094.718604103</v>
      </c>
      <c r="F13" s="20">
        <f>F9+F10+F11+F12</f>
        <v>29760512.838054992</v>
      </c>
    </row>
    <row r="14" spans="1:6" x14ac:dyDescent="0.25">
      <c r="A14" t="s">
        <v>50</v>
      </c>
      <c r="B14" s="21">
        <f>1/(1+Assumptions!$B$26)^(1-0.5*Assumptions!$B$32)</f>
        <v>0.9612017201204166</v>
      </c>
      <c r="C14" s="21">
        <f>1/(1+Assumptions!$B$26)^(2-0.5*Assumptions!$B$32)</f>
        <v>0.8880626766223634</v>
      </c>
      <c r="D14" s="21">
        <f>1/(1+Assumptions!$B$26)^(3-0.5*Assumptions!$B$32)</f>
        <v>0.8204888746046727</v>
      </c>
      <c r="E14" s="21">
        <f>1/(1+Assumptions!$B$26)^(4-0.5*Assumptions!$B$32)</f>
        <v>0.7580568478685343</v>
      </c>
      <c r="F14" s="21">
        <f>1/(1+Assumptions!$B$26)^(5-0.5*Assumptions!$B$32)</f>
        <v>0.7003753522889091</v>
      </c>
    </row>
    <row r="15" spans="1:6" x14ac:dyDescent="0.25">
      <c r="A15" s="19" t="s">
        <v>51</v>
      </c>
      <c r="B15" s="20">
        <f>B13*B14</f>
        <v>17465654.342230577</v>
      </c>
      <c r="C15" s="20">
        <f>C13*C14</f>
        <v>18254984.219341252</v>
      </c>
      <c r="D15" s="20">
        <f>D13*D14</f>
        <v>19079986.487688564</v>
      </c>
      <c r="E15" s="20">
        <f>E13*E14</f>
        <v>19942273.298963994</v>
      </c>
      <c r="F15" s="20">
        <f>F13*F14</f>
        <v>20843529.663251366</v>
      </c>
    </row>
    <row r="17" spans="1:2" x14ac:dyDescent="0.25">
      <c r="A17" s="22" t="s">
        <v>52</v>
      </c>
      <c r="B17" s="23">
        <f>SUM(B15:F15)</f>
        <v>95586428.01147576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29760512.838054992</v>
      </c>
    </row>
    <row r="5" spans="1:2" x14ac:dyDescent="0.25">
      <c r="A5" t="s">
        <v>56</v>
      </c>
      <c r="B5" s="18">
        <f>IF(Assumptions!$B$33=0,B4,B4-Forecast!F11-Forecast!F10-Forecast!F12)</f>
        <v>18873460.83292977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0.3035528748219138</v>
      </c>
    </row>
    <row r="7" spans="1:2" x14ac:dyDescent="0.25">
      <c r="A7" t="s">
        <v>58</v>
      </c>
      <c r="B7" s="18">
        <f>-MAX(Forecast!F9,0)*B6</f>
        <v>-5729093.293674624</v>
      </c>
    </row>
    <row r="8" spans="1:2" x14ac:dyDescent="0.25">
      <c r="A8" t="s">
        <v>59</v>
      </c>
      <c r="B8" s="18">
        <f>IF(OR(Assumptions!$B$33=0,Assumptions!B12&lt;=0),B5,MAX(B5+B7,0))</f>
        <v>13144367.539255148</v>
      </c>
    </row>
    <row r="9" spans="1:2" x14ac:dyDescent="0.25">
      <c r="A9" t="s">
        <v>60</v>
      </c>
      <c r="B9" s="18">
        <f>B8*(1+Assumptions!B12)/(Assumptions!B26-Assumptions!B12)</f>
        <v>234892825.04065952</v>
      </c>
    </row>
    <row r="10" spans="1:2" x14ac:dyDescent="0.25">
      <c r="A10" t="s">
        <v>61</v>
      </c>
      <c r="B10" s="18">
        <f>B9/(1+Assumptions!B26)^(5-0.5*Assumptions!B32)</f>
        <v>164513145.087989</v>
      </c>
    </row>
    <row r="11" spans="1:2" x14ac:dyDescent="0.25">
      <c r="A11" t="s">
        <v>62</v>
      </c>
      <c r="B11" s="18">
        <f>Forecast!B17+B10</f>
        <v>260099573.09946477</v>
      </c>
    </row>
    <row r="12" spans="1:2" x14ac:dyDescent="0.25">
      <c r="A12" t="s">
        <v>63</v>
      </c>
      <c r="B12" s="18">
        <f>-Assumptions!B30</f>
        <v>-169180000</v>
      </c>
    </row>
    <row r="13" spans="1:2" x14ac:dyDescent="0.25">
      <c r="A13" t="s">
        <v>64</v>
      </c>
      <c r="B13" s="18">
        <f>B11+B12</f>
        <v>90919573.09946477</v>
      </c>
    </row>
    <row r="14" spans="1:2" x14ac:dyDescent="0.25">
      <c r="A14" s="19" t="s">
        <v>65</v>
      </c>
      <c r="B14" s="24">
        <f>B13/Assumptions!B31</f>
        <v>0.516775808877952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222448294.61430156</v>
      </c>
    </row>
    <row r="18" spans="1:2" x14ac:dyDescent="0.25">
      <c r="A18" t="s">
        <v>60</v>
      </c>
      <c r="B18" s="18">
        <f>B17*Assumptions!B13</f>
        <v>2163618296.0002527</v>
      </c>
    </row>
    <row r="19" spans="1:2" x14ac:dyDescent="0.25">
      <c r="A19" t="s">
        <v>61</v>
      </c>
      <c r="B19" s="18">
        <f>B18/(1+Assumptions!B26)^(5-0.5*Assumptions!B32)</f>
        <v>1515344926.2799063</v>
      </c>
    </row>
    <row r="20" spans="1:2" x14ac:dyDescent="0.25">
      <c r="A20" t="s">
        <v>62</v>
      </c>
      <c r="B20" s="18">
        <f>Forecast!B17+B19</f>
        <v>1610931354.291382</v>
      </c>
    </row>
    <row r="21" spans="1:2" x14ac:dyDescent="0.25">
      <c r="A21" t="s">
        <v>63</v>
      </c>
      <c r="B21" s="18">
        <f>-Assumptions!B30</f>
        <v>-169180000</v>
      </c>
    </row>
    <row r="22" spans="1:2" x14ac:dyDescent="0.25">
      <c r="A22" t="s">
        <v>64</v>
      </c>
      <c r="B22" s="18">
        <f>B20+B21</f>
        <v>1441751354.291382</v>
      </c>
    </row>
    <row r="23" spans="1:2" x14ac:dyDescent="0.25">
      <c r="A23" s="19" t="s">
        <v>65</v>
      </c>
      <c r="B23" s="25">
        <f>B22/Assumptions!B31</f>
        <v>8.194739558441656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6.89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0.516775808877952</v>
      </c>
    </row>
    <row r="29" spans="1:2" x14ac:dyDescent="0.25">
      <c r="A29" s="19" t="s">
        <v>73</v>
      </c>
      <c r="B29" s="12">
        <f>B28/B26-1</f>
        <v>-0.9249962541541434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0.062358</v>
      </c>
      <c r="B5" s="31">
        <v>0.9387706158876421</v>
      </c>
      <c r="C5" s="31">
        <v>0.9453223330613476</v>
      </c>
      <c r="D5" s="31">
        <v>0.9518740502350521</v>
      </c>
      <c r="E5" s="31">
        <v>0.9584257674087574</v>
      </c>
      <c r="F5" s="31">
        <v>0.9649774845824622</v>
      </c>
    </row>
    <row r="6" spans="1:6" x14ac:dyDescent="0.25">
      <c r="A6" s="30">
        <v>0.072358</v>
      </c>
      <c r="B6" s="31">
        <v>0.6938327720197196</v>
      </c>
      <c r="C6" s="31">
        <v>0.6992459299697684</v>
      </c>
      <c r="D6" s="31">
        <v>0.704659087919817</v>
      </c>
      <c r="E6" s="31">
        <v>0.710072245869866</v>
      </c>
      <c r="F6" s="31">
        <v>0.7154854038199144</v>
      </c>
    </row>
    <row r="7" spans="1:6" x14ac:dyDescent="0.25">
      <c r="A7" s="30">
        <v>0.082358</v>
      </c>
      <c r="B7" s="31">
        <v>0.50765273418667</v>
      </c>
      <c r="C7" s="31">
        <v>0.5122140627101314</v>
      </c>
      <c r="D7" s="32">
        <v>0.5167753912335923</v>
      </c>
      <c r="E7" s="31">
        <v>0.5213367197570533</v>
      </c>
      <c r="F7" s="31">
        <v>0.5258980482805145</v>
      </c>
    </row>
    <row r="8" spans="1:6" x14ac:dyDescent="0.25">
      <c r="A8" s="30">
        <v>0.092358</v>
      </c>
      <c r="B8" s="31">
        <v>0.3611870125363182</v>
      </c>
      <c r="C8" s="31">
        <v>0.3650895703448559</v>
      </c>
      <c r="D8" s="31">
        <v>0.3689921281533932</v>
      </c>
      <c r="E8" s="31">
        <v>0.3728946859619311</v>
      </c>
      <c r="F8" s="31">
        <v>0.3767972437704686</v>
      </c>
    </row>
    <row r="9" spans="1:6" x14ac:dyDescent="0.25">
      <c r="A9" s="30">
        <v>0.102358</v>
      </c>
      <c r="B9" s="31">
        <v>0.24283127574692692</v>
      </c>
      <c r="C9" s="31">
        <v>0.24621108805124473</v>
      </c>
      <c r="D9" s="31">
        <v>0.2495909003555625</v>
      </c>
      <c r="E9" s="31">
        <v>0.25297071265988047</v>
      </c>
      <c r="F9" s="31">
        <v>0.25635052496419825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400288000</v>
      </c>
      <c r="C5" s="18">
        <v>393627000</v>
      </c>
      <c r="D5" s="18">
        <v>340057000</v>
      </c>
      <c r="E5" s="18">
        <v>276484000</v>
      </c>
      <c r="F5" s="8" t="s">
        <v>84</v>
      </c>
    </row>
    <row r="6" spans="1:6" x14ac:dyDescent="0.25">
      <c r="A6" t="s">
        <v>44</v>
      </c>
      <c r="B6" s="18">
        <v>44442000</v>
      </c>
      <c r="C6" s="18">
        <v>16209000</v>
      </c>
      <c r="D6" s="18">
        <v>4084000</v>
      </c>
      <c r="E6" s="18">
        <v>-5198000</v>
      </c>
      <c r="F6" s="8" t="s">
        <v>85</v>
      </c>
    </row>
    <row r="7" spans="1:6" x14ac:dyDescent="0.25">
      <c r="A7" t="s">
        <v>86</v>
      </c>
      <c r="B7" s="18">
        <v>97582000</v>
      </c>
      <c r="C7" s="18">
        <v>103376000</v>
      </c>
      <c r="D7" s="18">
        <v>91872000</v>
      </c>
      <c r="E7" s="18">
        <v>76789000</v>
      </c>
      <c r="F7" s="8" t="s">
        <v>87</v>
      </c>
    </row>
    <row r="8" spans="1:6" x14ac:dyDescent="0.25">
      <c r="A8" t="s">
        <v>88</v>
      </c>
      <c r="B8" s="18">
        <v>51633000</v>
      </c>
      <c r="C8" s="18">
        <v>57797000</v>
      </c>
      <c r="D8" s="18">
        <v>68848000</v>
      </c>
      <c r="E8" s="18">
        <v>9533000</v>
      </c>
      <c r="F8" s="8" t="s">
        <v>89</v>
      </c>
    </row>
    <row r="9" spans="1:6" x14ac:dyDescent="0.25">
      <c r="A9" t="s">
        <v>90</v>
      </c>
      <c r="B9" s="18">
        <v>-5449000</v>
      </c>
      <c r="C9" s="18">
        <v>3691000</v>
      </c>
      <c r="D9" s="18">
        <v>-8042000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232805000</v>
      </c>
      <c r="C10" s="18">
        <v>324156000</v>
      </c>
      <c r="D10" s="18">
        <v>375082000</v>
      </c>
      <c r="E10" s="18">
        <v>306367000</v>
      </c>
      <c r="F10" s="8" t="s">
        <v>93</v>
      </c>
    </row>
    <row r="11" spans="1:6" x14ac:dyDescent="0.25">
      <c r="A11" t="s">
        <v>94</v>
      </c>
      <c r="B11" s="18">
        <v>63625000</v>
      </c>
      <c r="C11" s="18">
        <v>70674000</v>
      </c>
      <c r="D11" s="18">
        <v>90461000</v>
      </c>
      <c r="E11" s="18">
        <v>36539000</v>
      </c>
      <c r="F11" s="8" t="s">
        <v>95</v>
      </c>
    </row>
    <row r="12" spans="1:6" x14ac:dyDescent="0.25">
      <c r="A12" t="s">
        <v>32</v>
      </c>
      <c r="B12" s="34">
        <v>175936202</v>
      </c>
      <c r="C12" s="34">
        <v>177094000</v>
      </c>
      <c r="D12" s="34">
        <v>177378000</v>
      </c>
      <c r="E12" s="34">
        <v>177289000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70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2026-09-19T01:05:14Z</dcterms:modified>
</cp:coreProperties>
</file>