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<sst xmlns="http://schemas.openxmlformats.org/spreadsheetml/2006/main" count="119" uniqueCount="106">
  <si>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Qnity Electronics, Inc. (Q)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</si>
  <si>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</si>
  <si>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</si>
  <si>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</si>
  <si>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</si>
  <si>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</si>
  <si>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</si>
  <si>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</si>
  <si>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</si>
  <si>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</si>
  <si>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</si>
  <si>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</si>
  <si>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</si>
  <si>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</si>
  <si>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</si>
  <si>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</si>
  <si>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</si>
  <si>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</si>
  <si>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</si>
  <si>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</si>
  <si>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</si>
  <si>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</si>
  <si>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</si>
  <si>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</si>
  <si>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15.6x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</si>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</sst>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0.1862907951198991</v>
      </c>
    </row>
    <row r="7" spans="1:2" x14ac:dyDescent="0.25">
      <c r="A7" t="s">
        <v>4</v>
      </c>
      <c r="B7" s="5">
        <v>0.1972402617533476</v>
      </c>
    </row>
    <row r="8" spans="1:2" x14ac:dyDescent="0.25">
      <c r="A8" t="s">
        <v>5</v>
      </c>
      <c r="B8" s="5">
        <v>0.17753091802758839</v>
      </c>
    </row>
    <row r="9" spans="1:2" x14ac:dyDescent="0.25">
      <c r="A9" t="s">
        <v>6</v>
      </c>
      <c r="B9" s="5">
        <v>0.08923043545432764</v>
      </c>
    </row>
    <row r="10" spans="1:3" x14ac:dyDescent="0.25">
      <c r="A10" t="s">
        <v>7</v>
      </c>
      <c r="B10" s="5">
        <v>0.05145407166146022</v>
      </c>
      <c r="C10" s="6" t="s">
        <v>8</v>
      </c>
    </row>
    <row r="11" spans="1:2" x14ac:dyDescent="0.25">
      <c r="A11" t="s">
        <v>9</v>
      </c>
      <c r="B11" s="5">
        <v>0.1497116493656286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19.798820834532375</v>
      </c>
    </row>
    <row r="14" spans="1:3" x14ac:dyDescent="0.25">
      <c r="A14" t="s">
        <v>12</v>
      </c>
      <c r="B14" s="5">
        <v>0.08448496683494422</v>
      </c>
      <c r="C14" s="6" t="s">
        <v>13</v>
      </c>
    </row>
    <row r="15" spans="1:3" x14ac:dyDescent="0.25">
      <c r="A15" t="s">
        <v>14</v>
      </c>
      <c r="B15" s="5">
        <v>0.03422139337763291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24408360960</v>
      </c>
    </row>
    <row r="23" spans="1:2" x14ac:dyDescent="0.25">
      <c r="A23" t="s">
        <v>26</v>
      </c>
      <c r="B23" s="10">
        <v>4027000000</v>
      </c>
    </row>
    <row r="24" spans="1:2" x14ac:dyDescent="0.25">
      <c r="A24" t="s">
        <v>27</v>
      </c>
      <c r="B24" s="9">
        <f>B22/(B22+B23)</f>
        <v>0.8583805563198309</v>
      </c>
    </row>
    <row r="25" spans="1:2" x14ac:dyDescent="0.25">
      <c r="A25" t="s">
        <v>28</v>
      </c>
      <c r="B25" s="9">
        <f>1-B24</f>
        <v>0.1416194436801691</v>
      </c>
    </row>
    <row r="26" spans="1:2" x14ac:dyDescent="0.25">
      <c r="A26" t="s">
        <v>29</v>
      </c>
      <c r="B26" s="11">
        <f>B24*B20+B25*B21*(1-B8)</f>
        <v>0.08448496683494422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4754000000</v>
      </c>
      <c r="C29" s="6" t="s">
        <v>32</v>
      </c>
    </row>
    <row r="30" spans="1:2" x14ac:dyDescent="0.25">
      <c r="A30" t="s">
        <v>33</v>
      </c>
      <c r="B30" s="10">
        <v>3112000000</v>
      </c>
    </row>
    <row r="31" spans="1:2" x14ac:dyDescent="0.25">
      <c r="A31" t="s">
        <v>34</v>
      </c>
      <c r="B31" s="12">
        <v>209800000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0.1862907951198991</v>
      </c>
      <c r="C5" s="5">
        <v>0.12142348208439135</v>
      </c>
      <c r="D5" s="5">
        <v>0.10937054682384244</v>
      </c>
      <c r="E5" s="5">
        <v>0.09731761156329352</v>
      </c>
      <c r="F5" s="5">
        <v>0.08526467630274459</v>
      </c>
      <c r="G5" s="5">
        <v>0.07321174104219567</v>
      </c>
      <c r="H5" s="5">
        <v>0.06115880578164676</v>
      </c>
      <c r="I5" s="5">
        <v>0.04910587052109783</v>
      </c>
      <c r="J5" s="5">
        <v>0.03705293526054891</v>
      </c>
      <c r="K5" s="5">
        <v>0.024999999999999994</v>
      </c>
    </row>
    <row r="6" spans="1:11" x14ac:dyDescent="0.25">
      <c r="A6" t="s">
        <v>50</v>
      </c>
      <c r="B6" s="18">
        <f>Assumptions!B29*(1+B5)</f>
        <v>5639626440</v>
      </c>
      <c r="C6" s="18">
        <f>B6*(1+C5)</f>
        <v>6324409520</v>
      </c>
      <c r="D6" s="18">
        <f>C6*(1+D5)</f>
        <v>7016113647.540315</v>
      </c>
      <c r="E6" s="18">
        <f>D6*(1+E5)</f>
        <v>7698905070.175565</v>
      </c>
      <c r="F6" s="18">
        <f>E6*(1+F5)</f>
        <v>8355349718.869642</v>
      </c>
      <c r="G6" s="18">
        <f>F6*(1+G5)</f>
        <v>8967059418.80451</v>
      </c>
      <c r="H6" s="18">
        <f>G6*(1+H5)</f>
        <v>9515474064.23166</v>
      </c>
      <c r="I6" s="18">
        <f>H6*(1+I5)</f>
        <v>9982739701.576685</v>
      </c>
      <c r="J6" s="18">
        <f>I6*(1+J5)</f>
        <v>10352629509.462116</v>
      </c>
      <c r="K6" s="18">
        <f>J6*(1+K5)</f>
        <v>10611445247.198668</v>
      </c>
    </row>
    <row r="7" spans="1:11" x14ac:dyDescent="0.25">
      <c r="A7" t="s">
        <v>4</v>
      </c>
      <c r="B7" s="9">
        <f>Assumptions!B7</f>
        <v>0.1972402617533476</v>
      </c>
      <c r="C7" s="9">
        <f>Assumptions!B7</f>
        <v>0.1972402617533476</v>
      </c>
      <c r="D7" s="9">
        <f>Assumptions!B7</f>
        <v>0.1972402617533476</v>
      </c>
      <c r="E7" s="9">
        <f>Assumptions!B7</f>
        <v>0.1972402617533476</v>
      </c>
      <c r="F7" s="9">
        <f>Assumptions!B7</f>
        <v>0.1972402617533476</v>
      </c>
      <c r="G7" s="9">
        <f>Assumptions!B7</f>
        <v>0.1972402617533476</v>
      </c>
      <c r="H7" s="9">
        <f>Assumptions!B7</f>
        <v>0.1972402617533476</v>
      </c>
      <c r="I7" s="9">
        <f>Assumptions!B7</f>
        <v>0.1972402617533476</v>
      </c>
      <c r="J7" s="9">
        <f>Assumptions!B7</f>
        <v>0.1972402617533476</v>
      </c>
      <c r="K7" s="9">
        <f>Assumptions!B7</f>
        <v>0.1972402617533476</v>
      </c>
    </row>
    <row r="8" spans="1:11" x14ac:dyDescent="0.25">
      <c r="A8" t="s">
        <v>51</v>
      </c>
      <c r="B8" s="18">
        <f>B6*B7</f>
        <v>1112361395.2166998</v>
      </c>
      <c r="C8" s="18">
        <f>C6*C7</f>
        <v>1247428189.1601634</v>
      </c>
      <c r="D8" s="18">
        <f>D6*D7</f>
        <v>1383860092.332086</v>
      </c>
      <c r="E8" s="18">
        <f>E6*E7</f>
        <v>1518534051.2556033</v>
      </c>
      <c r="F8" s="18">
        <f>F6*F7</f>
        <v>1648011365.5906076</v>
      </c>
      <c r="G8" s="18">
        <f>G6*G7</f>
        <v>1768665146.9228227</v>
      </c>
      <c r="H8" s="18">
        <f>H6*H7</f>
        <v>1876834595.136243</v>
      </c>
      <c r="I8" s="18">
        <f>I6*I7</f>
        <v>1968998191.7545204</v>
      </c>
      <c r="J8" s="18">
        <f>J6*J7</f>
        <v>2041955354.2817385</v>
      </c>
      <c r="K8" s="18">
        <f>K6*K7</f>
        <v>2093004238.1387815</v>
      </c>
    </row>
    <row r="9" spans="1:11" x14ac:dyDescent="0.25">
      <c r="A9" t="s">
        <v>52</v>
      </c>
      <c r="B9" s="18">
        <f>B8*(1-Assumptions!B8)</f>
        <v>914882855.5454301</v>
      </c>
      <c r="C9" s="18">
        <f>C8*(1-Assumptions!B8)</f>
        <v>1025971117.5650674</v>
      </c>
      <c r="D9" s="18">
        <f>D8*(1-Assumptions!B8)</f>
        <v>1138182139.7186277</v>
      </c>
      <c r="E9" s="18">
        <f>E8*(1-Assumptions!B8)</f>
        <v>1248947307.080043</v>
      </c>
      <c r="F9" s="18">
        <f>F8*(1-Assumptions!B8)</f>
        <v>1355438394.9374075</v>
      </c>
      <c r="G9" s="18">
        <f>G8*(1-Assumptions!B8)</f>
        <v>1454672399.7062147</v>
      </c>
      <c r="H9" s="18">
        <f>H8*(1-Assumptions!B8)</f>
        <v>1543638426.4757688</v>
      </c>
      <c r="I9" s="18">
        <f>I8*(1-Assumptions!B8)</f>
        <v>1619440135.177679</v>
      </c>
      <c r="J9" s="18">
        <f>J8*(1-Assumptions!B8)</f>
        <v>1679445145.664752</v>
      </c>
      <c r="K9" s="18">
        <f>K8*(1-Assumptions!B8)</f>
        <v>1721431274.3063705</v>
      </c>
    </row>
    <row r="10" spans="1:11" x14ac:dyDescent="0.25">
      <c r="A10" t="s">
        <v>53</v>
      </c>
      <c r="B10" s="18">
        <f>B6*Assumptions!B9</f>
        <v>503226323.04093957</v>
      </c>
      <c r="C10" s="18">
        <f>C6*Assumptions!B9</f>
        <v>564329815.4610952</v>
      </c>
      <c r="D10" s="18">
        <f>D6*Assumptions!B9</f>
        <v>626050875.9670733</v>
      </c>
      <c r="E10" s="18">
        <f>E6*Assumptions!B9</f>
        <v>686976651.9332966</v>
      </c>
      <c r="F10" s="18">
        <f>F6*Assumptions!B9</f>
        <v>745551493.7879323</v>
      </c>
      <c r="G10" s="18">
        <f>G6*Assumptions!B9</f>
        <v>800134616.6847566</v>
      </c>
      <c r="H10" s="18">
        <f>H6*Assumptions!B9</f>
        <v>849069894.3057519</v>
      </c>
      <c r="I10" s="18">
        <f>I6*Assumptions!B9</f>
        <v>890764210.5988923</v>
      </c>
      <c r="J10" s="18">
        <f>J6*Assumptions!B9</f>
        <v>923769639.226627</v>
      </c>
      <c r="K10" s="18">
        <f>K6*Assumptions!B9</f>
        <v>946863880.2072926</v>
      </c>
    </row>
    <row r="11" spans="1:11" x14ac:dyDescent="0.25">
      <c r="A11" t="s">
        <v>54</v>
      </c>
      <c r="B11" s="18">
        <f>-B6*B19</f>
        <v>-290181742.9876258</v>
      </c>
      <c r="C11" s="18">
        <f>-C6*C19</f>
        <v>-356447749.1240777</v>
      </c>
      <c r="D11" s="18">
        <f>-D6*D19</f>
        <v>-429857654.3143233</v>
      </c>
      <c r="E11" s="18">
        <f>-E6*E19</f>
        <v>-509465555.2187932</v>
      </c>
      <c r="F11" s="18">
        <f>-F6*F19</f>
        <v>-593901040.0988021</v>
      </c>
      <c r="G11" s="18">
        <f>-G6*G19</f>
        <v>-681379032.0820731</v>
      </c>
      <c r="H11" s="18">
        <f>-H6*H19</f>
        <v>-769739655.0838921</v>
      </c>
      <c r="I11" s="18">
        <f>-I6*I19</f>
        <v>-856519355.4111905</v>
      </c>
      <c r="J11" s="18">
        <f>-J6*J19</f>
        <v>-939051764.6326822</v>
      </c>
      <c r="K11" s="18">
        <f>-K6*K19</f>
        <v>-1014593808.0694337</v>
      </c>
    </row>
    <row r="12" spans="1:11" x14ac:dyDescent="0.25">
      <c r="A12" t="s">
        <v>55</v>
      </c>
      <c r="B12" s="18">
        <f>-(B6-Assumptions!B29)*Assumptions!B11</f>
        <v>-132588595.05420993</v>
      </c>
      <c r="C12" s="18">
        <f>-(C6-B6)*Assumptions!B11</f>
        <v>-102520004.3644752</v>
      </c>
      <c r="D12" s="18">
        <f>-(D6-C6)*Assumptions!B11</f>
        <v>-103556165.80707364</v>
      </c>
      <c r="E12" s="18">
        <f>-(E6-D6)*Assumptions!B11</f>
        <v>-102221830.0554273</v>
      </c>
      <c r="F12" s="18">
        <f>-(F6-E6)*Assumptions!B11</f>
        <v>-98277411.07323098</v>
      </c>
      <c r="G12" s="18">
        <f>-(G6-F6)*Assumptions!B11</f>
        <v>-91580068.11020283</v>
      </c>
      <c r="H12" s="18">
        <f>-(H6-G6)*Assumptions!B11</f>
        <v>-82104061.10316513</v>
      </c>
      <c r="I12" s="18">
        <f>-(I6-H6)*Assumptions!B11</f>
        <v>-69955109.25880523</v>
      </c>
      <c r="J12" s="18">
        <f>-(J6-I6)*Assumptions!B11</f>
        <v>-55376813.22206342</v>
      </c>
      <c r="K12" s="18">
        <f>-(K6-J6)*Assumptions!B11</f>
        <v>-38747730.97832106</v>
      </c>
    </row>
    <row r="13" spans="1:11" x14ac:dyDescent="0.25">
      <c r="A13" s="19" t="s">
        <v>56</v>
      </c>
      <c r="B13" s="20">
        <f>B9+B10+B11+B12</f>
        <v>995338840.5445337</v>
      </c>
      <c r="C13" s="20">
        <f>C9+C10+C11+C12</f>
        <v>1131333179.5376096</v>
      </c>
      <c r="D13" s="20">
        <f>D9+D10+D11+D12</f>
        <v>1230819195.5643039</v>
      </c>
      <c r="E13" s="20">
        <f>E9+E10+E11+E12</f>
        <v>1324236573.739119</v>
      </c>
      <c r="F13" s="20">
        <f>F9+F10+F11+F12</f>
        <v>1408811437.5533068</v>
      </c>
      <c r="G13" s="20">
        <f>G9+G10+G11+G12</f>
        <v>1481847916.1986952</v>
      </c>
      <c r="H13" s="20">
        <f>H9+H10+H11+H12</f>
        <v>1540864604.5944636</v>
      </c>
      <c r="I13" s="20">
        <f>I9+I10+I11+I12</f>
        <v>1583729881.1065755</v>
      </c>
      <c r="J13" s="20">
        <f>J9+J10+J11+J12</f>
        <v>1608786207.036633</v>
      </c>
      <c r="K13" s="20">
        <f>K9+K10+K11+K12</f>
        <v>1614953615.4659085</v>
      </c>
    </row>
    <row r="14" spans="1:11" x14ac:dyDescent="0.25">
      <c r="A14" t="s">
        <v>57</v>
      </c>
      <c r="B14" s="21">
        <f>1/(1+Assumptions!$B$26)^(1-0.5*Assumptions!$B$32)</f>
        <v>0.960258658691615</v>
      </c>
      <c r="C14" s="21">
        <f>1/(1+Assumptions!$B$26)^(2-0.5*Assumptions!$B$32)</f>
        <v>0.8854513322523203</v>
      </c>
      <c r="D14" s="21">
        <f>1/(1+Assumptions!$B$26)^(3-0.5*Assumptions!$B$32)</f>
        <v>0.8164717440357877</v>
      </c>
      <c r="E14" s="21">
        <f>1/(1+Assumptions!$B$26)^(4-0.5*Assumptions!$B$32)</f>
        <v>0.7528658939539292</v>
      </c>
      <c r="F14" s="21">
        <f>1/(1+Assumptions!$B$26)^(5-0.5*Assumptions!$B$32)</f>
        <v>0.6942151500275369</v>
      </c>
      <c r="G14" s="21">
        <f>1/(1+Assumptions!$B$26)^(6-0.5*Assumptions!$B$32)</f>
        <v>0.640133493093588</v>
      </c>
      <c r="H14" s="21">
        <f>1/(1+Assumptions!$B$26)^(7-0.5*Assumptions!$B$32)</f>
        <v>0.5902649761589684</v>
      </c>
      <c r="I14" s="21">
        <f>1/(1+Assumptions!$B$26)^(8-0.5*Assumptions!$B$32)</f>
        <v>0.544281381678945</v>
      </c>
      <c r="J14" s="21">
        <f>1/(1+Assumptions!$B$26)^(9-0.5*Assumptions!$B$32)</f>
        <v>0.5018800613413973</v>
      </c>
      <c r="K14" s="21">
        <f>1/(1+Assumptions!$B$26)^(10-0.5*Assumptions!$B$32)</f>
        <v>0.46278194413900264</v>
      </c>
    </row>
    <row r="15" spans="1:11" x14ac:dyDescent="0.25">
      <c r="A15" s="19" t="s">
        <v>58</v>
      </c>
      <c r="B15" s="20">
        <f>B13*B14</f>
        <v>955782739.9649612</v>
      </c>
      <c r="C15" s="20">
        <f>C13*C14</f>
        <v>1001740471.0428299</v>
      </c>
      <c r="D15" s="20">
        <f>D13*D14</f>
        <v>1004929095.1951125</v>
      </c>
      <c r="E15" s="20">
        <f>E13*E14</f>
        <v>996972551.8945901</v>
      </c>
      <c r="F15" s="20">
        <f>F13*F14</f>
        <v>978018243.4815788</v>
      </c>
      <c r="G15" s="20">
        <f>G13*G14</f>
        <v>948580482.8297253</v>
      </c>
      <c r="H15" s="20">
        <f>H13*H14</f>
        <v>909518409.0951494</v>
      </c>
      <c r="I15" s="20">
        <f>I13*I14</f>
        <v>861994687.8949182</v>
      </c>
      <c r="J15" s="20">
        <f>J13*J14</f>
        <v>807417720.2727393</v>
      </c>
      <c r="K15" s="20">
        <f>K13*K14</f>
        <v>747371373.8596244</v>
      </c>
    </row>
    <row r="17" spans="1:2" x14ac:dyDescent="0.25">
      <c r="A17" s="22" t="s">
        <v>59</v>
      </c>
      <c r="B17" s="23">
        <f>SUM(B15:K15)</f>
        <v>9212325775.531229</v>
      </c>
    </row>
    <row r="19" spans="1:11" x14ac:dyDescent="0.25">
      <c r="A19" t="s">
        <v>7</v>
      </c>
      <c r="B19" s="9">
        <f>Assumptions!$B$10+($B$20-Assumptions!$B$10)*0/9</f>
        <v>0.05145407166146022</v>
      </c>
      <c r="C19" s="9">
        <f>Assumptions!$B$10+($B$20-Assumptions!$B$10)*1/9</f>
        <v>0.056360636988617666</v>
      </c>
      <c r="D19" s="9">
        <f>Assumptions!$B$10+($B$20-Assumptions!$B$10)*2/9</f>
        <v>0.06126720231577511</v>
      </c>
      <c r="E19" s="9">
        <f>Assumptions!$B$10+($B$20-Assumptions!$B$10)*3/9</f>
        <v>0.06617376764293256</v>
      </c>
      <c r="F19" s="9">
        <f>Assumptions!$B$10+($B$20-Assumptions!$B$10)*4/9</f>
        <v>0.07108033297009</v>
      </c>
      <c r="G19" s="9">
        <f>Assumptions!$B$10+($B$20-Assumptions!$B$10)*5/9</f>
        <v>0.07598689829724745</v>
      </c>
      <c r="H19" s="9">
        <f>Assumptions!$B$10+($B$20-Assumptions!$B$10)*6/9</f>
        <v>0.0808934636244049</v>
      </c>
      <c r="I19" s="9">
        <f>Assumptions!$B$10+($B$20-Assumptions!$B$10)*7/9</f>
        <v>0.08580002895156236</v>
      </c>
      <c r="J19" s="9">
        <f>Assumptions!$B$10+($B$20-Assumptions!$B$10)*8/9</f>
        <v>0.0907065942787198</v>
      </c>
      <c r="K19" s="9">
        <f>Assumptions!$B$10+($B$20-Assumptions!$B$10)*9/9</f>
        <v>0.09561315960587724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0.09561315960587724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1614953615.4659085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2201527399.502525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0.2959106328211238</v>
      </c>
    </row>
    <row r="7" spans="1:2" x14ac:dyDescent="0.25">
      <c r="A7" t="s">
        <v>66</v>
      </c>
      <c r="B7" s="18">
        <f>-MAX(B5,0)*B6</f>
        <v>-651455365.9598352</v>
      </c>
    </row>
    <row r="8" spans="1:2" x14ac:dyDescent="0.25">
      <c r="A8" t="s">
        <v>67</v>
      </c>
      <c r="B8" s="18">
        <f>IF(OR(Assumptions!$B$33=0,Assumptions!B12&lt;=0),B5,MAX(B5+B7,0))</f>
        <v>1550072033.5426898</v>
      </c>
    </row>
    <row r="9" spans="1:2" x14ac:dyDescent="0.25">
      <c r="A9" t="s">
        <v>68</v>
      </c>
      <c r="B9" s="18">
        <f>B8*(1+Assumptions!B12)/(Assumptions!B26-Assumptions!B12)</f>
        <v>26709670004.35324</v>
      </c>
    </row>
    <row r="10" spans="1:2" x14ac:dyDescent="0.25">
      <c r="A10" t="s">
        <v>69</v>
      </c>
      <c r="B10" s="18">
        <f>B9/(1+Assumptions!B26)^(10-0.5*Assumptions!B32)</f>
        <v>12360753011.925797</v>
      </c>
    </row>
    <row r="11" spans="1:2" x14ac:dyDescent="0.25">
      <c r="A11" t="s">
        <v>70</v>
      </c>
      <c r="B11" s="18">
        <f>Forecast!B17+B10</f>
        <v>21573078787.457024</v>
      </c>
    </row>
    <row r="12" spans="1:2" x14ac:dyDescent="0.25">
      <c r="A12" t="s">
        <v>71</v>
      </c>
      <c r="B12" s="18">
        <f>-Assumptions!B30</f>
        <v>-3112000000</v>
      </c>
    </row>
    <row r="13" spans="1:2" x14ac:dyDescent="0.25">
      <c r="A13" t="s">
        <v>72</v>
      </c>
      <c r="B13" s="18">
        <f>B11+B12</f>
        <v>18461078787.457024</v>
      </c>
    </row>
    <row r="14" spans="1:2" x14ac:dyDescent="0.25">
      <c r="A14" s="19" t="s">
        <v>73</v>
      </c>
      <c r="B14" s="24">
        <f>B13/Assumptions!B31</f>
        <v>87.9937025140945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3039868118.346074</v>
      </c>
    </row>
    <row r="18" spans="1:2" x14ac:dyDescent="0.25">
      <c r="A18" t="s">
        <v>68</v>
      </c>
      <c r="B18" s="18">
        <f>B17*Assumptions!B13</f>
        <v>60185804235.74098</v>
      </c>
    </row>
    <row r="19" spans="1:2" x14ac:dyDescent="0.25">
      <c r="A19" t="s">
        <v>69</v>
      </c>
      <c r="B19" s="18">
        <f>B18/(1+Assumptions!B26)^(10-0.5*Assumptions!B32)</f>
        <v>27852903493.785633</v>
      </c>
    </row>
    <row r="20" spans="1:2" x14ac:dyDescent="0.25">
      <c r="A20" t="s">
        <v>70</v>
      </c>
      <c r="B20" s="18">
        <f>Forecast!B17+B19</f>
        <v>37065229269.316864</v>
      </c>
    </row>
    <row r="21" spans="1:2" x14ac:dyDescent="0.25">
      <c r="A21" t="s">
        <v>71</v>
      </c>
      <c r="B21" s="18">
        <f>-Assumptions!B30</f>
        <v>-3112000000</v>
      </c>
    </row>
    <row r="22" spans="1:2" x14ac:dyDescent="0.25">
      <c r="A22" t="s">
        <v>72</v>
      </c>
      <c r="B22" s="18">
        <f>B20+B21</f>
        <v>33953229269.316864</v>
      </c>
    </row>
    <row r="23" spans="1:2" x14ac:dyDescent="0.25">
      <c r="A23" s="19" t="s">
        <v>73</v>
      </c>
      <c r="B23" s="25">
        <f>B22/Assumptions!B31</f>
        <v>161.83617382896503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116.67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87.9937025140945</v>
      </c>
    </row>
    <row r="29" spans="1:2" x14ac:dyDescent="0.25">
      <c r="A29" s="19" t="s">
        <v>81</v>
      </c>
      <c r="B29" s="11">
        <f>B28/B26-1</f>
        <v>-0.24578981302738923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0.064485</v>
      </c>
      <c r="B5" s="31">
        <v>126.87586722941836</v>
      </c>
      <c r="C5" s="31">
        <v>125.20348952271738</v>
      </c>
      <c r="D5" s="31">
        <v>123.58334301080795</v>
      </c>
      <c r="E5" s="31">
        <v>122.03814678668346</v>
      </c>
      <c r="F5" s="31">
        <v>120.6060305541516</v>
      </c>
    </row>
    <row r="6" spans="1:6" x14ac:dyDescent="0.25">
      <c r="A6" s="30">
        <v>0.074485</v>
      </c>
      <c r="B6" s="31">
        <v>106.03428121943892</v>
      </c>
      <c r="C6" s="31">
        <v>104.47587962145694</v>
      </c>
      <c r="D6" s="31">
        <v>102.91747802347494</v>
      </c>
      <c r="E6" s="31">
        <v>101.35907642549294</v>
      </c>
      <c r="F6" s="31">
        <v>99.80067482751096</v>
      </c>
    </row>
    <row r="7" spans="1:6" x14ac:dyDescent="0.25">
      <c r="A7" s="30">
        <v>0.084485</v>
      </c>
      <c r="B7" s="31">
        <v>90.59014862764771</v>
      </c>
      <c r="C7" s="31">
        <v>89.29190380211408</v>
      </c>
      <c r="D7" s="32">
        <v>87.9936589765804</v>
      </c>
      <c r="E7" s="31">
        <v>86.69541415104676</v>
      </c>
      <c r="F7" s="31">
        <v>85.39716932551309</v>
      </c>
    </row>
    <row r="8" spans="1:6" x14ac:dyDescent="0.25">
      <c r="A8" s="30">
        <v>0.094485</v>
      </c>
      <c r="B8" s="31">
        <v>78.47674586848942</v>
      </c>
      <c r="C8" s="31">
        <v>77.37892955966957</v>
      </c>
      <c r="D8" s="31">
        <v>76.28111325084971</v>
      </c>
      <c r="E8" s="31">
        <v>75.18329694202983</v>
      </c>
      <c r="F8" s="31">
        <v>74.08548063320998</v>
      </c>
    </row>
    <row r="9" spans="1:6" x14ac:dyDescent="0.25">
      <c r="A9" s="30">
        <v>0.104485</v>
      </c>
      <c r="B9" s="31">
        <v>68.73420714123951</v>
      </c>
      <c r="C9" s="31">
        <v>67.79457773530709</v>
      </c>
      <c r="D9" s="31">
        <v>66.85494832937466</v>
      </c>
      <c r="E9" s="31">
        <v>65.91531892344224</v>
      </c>
      <c r="F9" s="31">
        <v>64.97568951750982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4754000000</v>
      </c>
      <c r="C5" s="18">
        <v>4335000000</v>
      </c>
      <c r="D5" s="18">
        <v>4035000000</v>
      </c>
      <c r="E5" s="18">
        <v>4755000000</v>
      </c>
      <c r="F5" s="6" t="s">
        <v>91</v>
      </c>
    </row>
    <row r="6" spans="1:6" x14ac:dyDescent="0.25">
      <c r="A6" t="s">
        <v>51</v>
      </c>
      <c r="B6" s="18">
        <v>1014000000</v>
      </c>
      <c r="C6" s="18">
        <v>847000000</v>
      </c>
      <c r="D6" s="18">
        <v>657000000</v>
      </c>
      <c r="E6" s="18">
        <v>1034000000</v>
      </c>
      <c r="F6" s="6" t="s">
        <v>92</v>
      </c>
    </row>
    <row r="7" spans="1:6" x14ac:dyDescent="0.25">
      <c r="A7" t="s">
        <v>93</v>
      </c>
      <c r="B7" s="18">
        <v>376000000</v>
      </c>
      <c r="C7" s="18">
        <v>394000000</v>
      </c>
      <c r="D7" s="18">
        <v>403000000</v>
      </c>
      <c r="E7" s="18">
        <v>414000000</v>
      </c>
      <c r="F7" s="6" t="s">
        <v>94</v>
      </c>
    </row>
    <row r="8" spans="1:6" x14ac:dyDescent="0.25">
      <c r="A8" t="s">
        <v>95</v>
      </c>
      <c r="B8" s="18">
        <v>285000000</v>
      </c>
      <c r="C8" s="18">
        <v>200000000</v>
      </c>
      <c r="D8" s="18">
        <v>231000000</v>
      </c>
      <c r="E8" s="18">
        <v>202000000</v>
      </c>
      <c r="F8" s="6" t="s">
        <v>96</v>
      </c>
    </row>
    <row r="9" spans="1:6" x14ac:dyDescent="0.25">
      <c r="A9" t="s">
        <v>97</v>
      </c>
      <c r="B9" s="18">
        <v>-214000000</v>
      </c>
      <c r="C9" s="18">
        <v>-14000000</v>
      </c>
      <c r="D9" s="18">
        <v>43000000</v>
      </c>
      <c r="E9" s="18">
        <v>76000000</v>
      </c>
      <c r="F9" s="6" t="s">
        <v>98</v>
      </c>
    </row>
    <row r="10" spans="1:6" x14ac:dyDescent="0.25">
      <c r="A10" t="s">
        <v>99</v>
      </c>
      <c r="B10" s="18">
        <v>4027000000</v>
      </c>
      <c r="C10" s="18">
        <v>0</v>
      </c>
      <c r="D10" s="18">
        <v>0</v>
      </c>
      <c r="E10" s="18">
        <v>0</v>
      </c>
      <c r="F10" s="6" t="s">
        <v>100</v>
      </c>
    </row>
    <row r="11" spans="1:6" x14ac:dyDescent="0.25">
      <c r="A11" t="s">
        <v>101</v>
      </c>
      <c r="B11" s="18">
        <v>915000000</v>
      </c>
      <c r="C11" s="18">
        <v>166000000</v>
      </c>
      <c r="D11" s="18">
        <v>139000000</v>
      </c>
      <c r="E11" s="18">
        <v>0</v>
      </c>
      <c r="F11" s="6" t="s">
        <v>102</v>
      </c>
    </row>
    <row r="12" spans="1:6" x14ac:dyDescent="0.25">
      <c r="A12" t="s">
        <v>34</v>
      </c>
      <c r="B12" s="34">
        <v>209800000</v>
      </c>
      <c r="C12" s="34">
        <v>0</v>
      </c>
      <c r="D12" s="34">
        <v>0</v>
      </c>
      <c r="E12" s="34">
        <v>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