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<sst xmlns="http://schemas.openxmlformats.org/spreadsheetml/2006/main" count="113" uniqueCount="101">
  <si>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Qantas Airways Limited (QAN.AX)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</si>
  <si>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</si>
  <si>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</si>
  <si>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</si>
  <si>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</si>
  <si>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</si>
  <si>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</si>
  <si>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</si>
  <si>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</si>
  <si>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</si>
  <si>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</si>
  <si>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</si>
  <si>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</si>
  <si>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</si>
  <si>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</si>
  <si>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</si>
  <si>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</si>
  <si>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</si>
  <si>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</si>
  <si>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</si>
  <si>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</si>
  <si>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</si>
  <si>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</si>
  <si>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</si>
  <si>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</si>
  <si>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</si>
  <si>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</si>
  <si>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</si>
  <si>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</si>
  <si>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</si>
  <si>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</si>
  <si>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</si>
  <si>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</si>
  <si>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</si>
  <si>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</si>
  <si>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</si>
  <si>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</si>
  <si>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</si>
  <si>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</si>
  <si>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</si>
  <si>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</si>
  <si>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</si>
  <si>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</si>
  <si>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</si>
  <si>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</si>
  <si>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</si>
  <si>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</si>
  <si>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</si>
  <si>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</si>
  <si>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</si>
  <si>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</si>
  <si>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</si>
  <si>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</si>
  <si>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</si>
  <si>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</si>
  <si>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</si>
  <si>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</si>
  <si>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</si>
  <si>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</si>
  <si>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</si>
  <si>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</si>
  <si>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</si>
  <si>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</si>
  <si>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</si>
  <si>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</si>
  <si>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</si>
  <si>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</si>
  <si>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</si>
  <si>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</si>
  <si>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</si>
  <si>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</si>
  <si>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</si>
  <si>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</si>
  <si>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</si>
  <si>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</si>
  <si>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</si>
  <si>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</si>
  <si>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</si>
  <si>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</si>
  <si>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</si>
  <si>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</si>
  <si>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</si>
  <si>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</si>
  <si>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</si>
  <si>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</si>
  <si>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</si>
  <si>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</si>
  <si>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</si>
  <si>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</si>
  <si>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</si>
  <si>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</si>
  <si>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</si>
  <si>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</si>
  <si>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</si>
  <si>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</si>
  <si>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</si>
  <si>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</si>
  <si>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</si>
  <si>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</si>
  <si>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Capital expenditure runs at 14.4% of revenue against depreciation of 8.7%.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</si>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</sst>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0.08868679428975157</v>
      </c>
    </row>
    <row r="7" spans="1:2" x14ac:dyDescent="0.25">
      <c r="A7" t="s">
        <v>5</v>
      </c>
      <c r="B7" s="6">
        <v>0.09257270690404054</v>
      </c>
    </row>
    <row r="8" spans="1:2" x14ac:dyDescent="0.25">
      <c r="A8" t="s">
        <v>6</v>
      </c>
      <c r="B8" s="6">
        <v>0.2946780749647695</v>
      </c>
    </row>
    <row r="9" spans="1:2" x14ac:dyDescent="0.25">
      <c r="A9" t="s">
        <v>7</v>
      </c>
      <c r="B9" s="6">
        <v>0.08716762378885635</v>
      </c>
    </row>
    <row r="10" spans="1:2" x14ac:dyDescent="0.25">
      <c r="A10" t="s">
        <v>8</v>
      </c>
      <c r="B10" s="6">
        <v>0.14379627618253354</v>
      </c>
    </row>
    <row r="11" spans="1:2" x14ac:dyDescent="0.25">
      <c r="A11" t="s">
        <v>9</v>
      </c>
      <c r="B11" s="6">
        <v>-0.05298382598996096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4.898535737126042</v>
      </c>
    </row>
    <row r="14" spans="1:3" x14ac:dyDescent="0.25">
      <c r="A14" t="s">
        <v>12</v>
      </c>
      <c r="B14" s="6">
        <v>0.2243432250239068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0.72195</v>
      </c>
      <c r="C19" s="8" t="s">
        <v>19</v>
      </c>
    </row>
    <row r="20" spans="1:2" x14ac:dyDescent="0.25">
      <c r="A20" t="s">
        <v>20</v>
      </c>
      <c r="B20" s="10">
        <f>B17+B19*B18</f>
        <v>0.096797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13210228736</v>
      </c>
    </row>
    <row r="23" spans="1:2" x14ac:dyDescent="0.25">
      <c r="A23" t="s">
        <v>24</v>
      </c>
      <c r="B23" s="11">
        <v>10352000000</v>
      </c>
    </row>
    <row r="24" spans="1:2" x14ac:dyDescent="0.25">
      <c r="A24" t="s">
        <v>25</v>
      </c>
      <c r="B24" s="10">
        <f>B22/(B22+B23)</f>
        <v>0.5606527669352646</v>
      </c>
    </row>
    <row r="25" spans="1:2" x14ac:dyDescent="0.25">
      <c r="A25" t="s">
        <v>26</v>
      </c>
      <c r="B25" s="10">
        <f>1-B24</f>
        <v>0.43934723306473544</v>
      </c>
    </row>
    <row r="26" spans="1:2" x14ac:dyDescent="0.25">
      <c r="A26" t="s">
        <v>27</v>
      </c>
      <c r="B26" s="12">
        <f>B24*B20+B25*B21*(1-B8)</f>
        <v>0.07084195439215961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25189000000</v>
      </c>
      <c r="C29" s="8" t="s">
        <v>30</v>
      </c>
    </row>
    <row r="30" spans="1:2" x14ac:dyDescent="0.25">
      <c r="A30" t="s">
        <v>31</v>
      </c>
      <c r="B30" s="11">
        <v>6766000000</v>
      </c>
    </row>
    <row r="31" spans="1:2" x14ac:dyDescent="0.25">
      <c r="A31" t="s">
        <v>32</v>
      </c>
      <c r="B31" s="13">
        <v>1525443787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0.08868679428975157</v>
      </c>
      <c r="C5" s="10">
        <f>Assumptions!B6</f>
        <v>0.08868679428975157</v>
      </c>
      <c r="D5" s="10">
        <f>Assumptions!B6</f>
        <v>0.08868679428975157</v>
      </c>
      <c r="E5" s="10">
        <f>Assumptions!B6</f>
        <v>0.08868679428975157</v>
      </c>
      <c r="F5" s="10">
        <f>Assumptions!B6</f>
        <v>0.08868679428975157</v>
      </c>
    </row>
    <row r="6" spans="1:6" x14ac:dyDescent="0.25">
      <c r="A6" t="s">
        <v>43</v>
      </c>
      <c r="B6" s="18">
        <f>Assumptions!B29*(1+B5)</f>
        <v>27422931661.36455</v>
      </c>
      <c r="C6" s="18">
        <f>B6*(1+C5)</f>
        <v>29854983560.437904</v>
      </c>
      <c r="D6" s="18">
        <f>C6*(1+D5)</f>
        <v>32502726345.986374</v>
      </c>
      <c r="E6" s="18">
        <f>D6*(1+E5)</f>
        <v>35385288951.288956</v>
      </c>
      <c r="F6" s="18">
        <f>E6*(1+F5)</f>
        <v>38523496793.39534</v>
      </c>
    </row>
    <row r="7" spans="1:6" x14ac:dyDescent="0.25">
      <c r="A7" t="s">
        <v>5</v>
      </c>
      <c r="B7" s="10">
        <f>Assumptions!B7</f>
        <v>0.09257270690404054</v>
      </c>
      <c r="C7" s="10">
        <f>Assumptions!B7</f>
        <v>0.09257270690404054</v>
      </c>
      <c r="D7" s="10">
        <f>Assumptions!B7</f>
        <v>0.09257270690404054</v>
      </c>
      <c r="E7" s="10">
        <f>Assumptions!B7</f>
        <v>0.09257270690404054</v>
      </c>
      <c r="F7" s="10">
        <f>Assumptions!B7</f>
        <v>0.09257270690404054</v>
      </c>
    </row>
    <row r="8" spans="1:6" x14ac:dyDescent="0.25">
      <c r="A8" t="s">
        <v>44</v>
      </c>
      <c r="B8" s="18">
        <f>B6*B7</f>
        <v>2538615015.137034</v>
      </c>
      <c r="C8" s="18">
        <f>C6*C7</f>
        <v>2763756642.765367</v>
      </c>
      <c r="D8" s="18">
        <f>D6*D7</f>
        <v>3008865359.6092334</v>
      </c>
      <c r="E8" s="18">
        <f>E6*E7</f>
        <v>3275711982.8024564</v>
      </c>
      <c r="F8" s="18">
        <f>F6*F7</f>
        <v>3566224377.5737324</v>
      </c>
    </row>
    <row r="9" spans="1:6" x14ac:dyDescent="0.25">
      <c r="A9" t="s">
        <v>45</v>
      </c>
      <c r="B9" s="18">
        <f>B8*(1-Assumptions!B8)</f>
        <v>1790540829.3997936</v>
      </c>
      <c r="C9" s="18">
        <f>C8*(1-Assumptions!B8)</f>
        <v>1949338155.6041746</v>
      </c>
      <c r="D9" s="18">
        <f>D8*(1-Assumptions!B8)</f>
        <v>2122218707.6114056</v>
      </c>
      <c r="E9" s="18">
        <f>E8*(1-Assumptions!B8)</f>
        <v>2310431481.5712004</v>
      </c>
      <c r="F9" s="18">
        <f>F8*(1-Assumptions!B8)</f>
        <v>2515336243.097872</v>
      </c>
    </row>
    <row r="10" spans="1:6" x14ac:dyDescent="0.25">
      <c r="A10" t="s">
        <v>46</v>
      </c>
      <c r="B10" s="18">
        <f>B6*Assumptions!B9</f>
        <v>2390391790.2453427</v>
      </c>
      <c r="C10" s="18">
        <f>C6*Assumptions!B9</f>
        <v>2602387975.2187424</v>
      </c>
      <c r="D10" s="18">
        <f>D6*Assumptions!B9</f>
        <v>2833185422.23909</v>
      </c>
      <c r="E10" s="18">
        <f>E6*Assumptions!B9</f>
        <v>3084451554.965931</v>
      </c>
      <c r="F10" s="18">
        <f>F6*Assumptions!B9</f>
        <v>3358001675.517899</v>
      </c>
    </row>
    <row r="11" spans="1:6" x14ac:dyDescent="0.25">
      <c r="A11" t="s">
        <v>47</v>
      </c>
      <c r="B11" s="18">
        <f>-B6*Assumptions!B10</f>
        <v>-3943315454.9123206</v>
      </c>
      <c r="C11" s="18">
        <f>-C6*Assumptions!B10</f>
        <v>-4293035461.4817276</v>
      </c>
      <c r="D11" s="18">
        <f>-D6*Assumptions!B10</f>
        <v>-4673771014.332766</v>
      </c>
      <c r="E11" s="18">
        <f>-E6*Assumptions!B10</f>
        <v>-5088272782.8383</v>
      </c>
      <c r="F11" s="18">
        <f>-F6*Assumptions!B10</f>
        <v>-5539535384.420022</v>
      </c>
    </row>
    <row r="12" spans="1:6" x14ac:dyDescent="0.25">
      <c r="A12" t="s">
        <v>48</v>
      </c>
      <c r="B12" s="18">
        <f>-(B6-Assumptions!B29)*Assumptions!B11</f>
        <v>118362246.41920379</v>
      </c>
      <c r="C12" s="18">
        <f>-(C6-B6)*Assumptions!B11</f>
        <v>128859414.61905661</v>
      </c>
      <c r="D12" s="18">
        <f>-(D6-C6)*Assumptions!B11</f>
        <v>140287543.01567462</v>
      </c>
      <c r="E12" s="18">
        <f>-(E6-D6)*Assumptions!B11</f>
        <v>152729195.4845205</v>
      </c>
      <c r="F12" s="18">
        <f>-(F6-E6)*Assumptions!B11</f>
        <v>166274258.22649553</v>
      </c>
    </row>
    <row r="13" spans="1:6" x14ac:dyDescent="0.25">
      <c r="A13" s="19" t="s">
        <v>49</v>
      </c>
      <c r="B13" s="20">
        <f>B9+B10+B11+B12</f>
        <v>355979411.1520195</v>
      </c>
      <c r="C13" s="20">
        <f>C9+C10+C11+C12</f>
        <v>387550083.96024597</v>
      </c>
      <c r="D13" s="20">
        <f>D9+D10+D11+D12</f>
        <v>421920658.53340435</v>
      </c>
      <c r="E13" s="20">
        <f>E9+E10+E11+E12</f>
        <v>459339449.18335205</v>
      </c>
      <c r="F13" s="20">
        <f>F9+F10+F11+F12</f>
        <v>500076792.42224383</v>
      </c>
    </row>
    <row r="14" spans="1:6" x14ac:dyDescent="0.25">
      <c r="A14" t="s">
        <v>50</v>
      </c>
      <c r="B14" s="21">
        <f>1/(1+Assumptions!$B$26)^(1-0.5*Assumptions!$B$32)</f>
        <v>0.9663563638156076</v>
      </c>
      <c r="C14" s="21">
        <f>1/(1+Assumptions!$B$26)^(2-0.5*Assumptions!$B$32)</f>
        <v>0.9024266931754079</v>
      </c>
      <c r="D14" s="21">
        <f>1/(1+Assumptions!$B$26)^(3-0.5*Assumptions!$B$32)</f>
        <v>0.8427263140690551</v>
      </c>
      <c r="E14" s="21">
        <f>1/(1+Assumptions!$B$26)^(4-0.5*Assumptions!$B$32)</f>
        <v>0.7869754361159771</v>
      </c>
      <c r="F14" s="21">
        <f>1/(1+Assumptions!$B$26)^(5-0.5*Assumptions!$B$32)</f>
        <v>0.7349127785740209</v>
      </c>
    </row>
    <row r="15" spans="1:6" x14ac:dyDescent="0.25">
      <c r="A15" s="19" t="s">
        <v>51</v>
      </c>
      <c r="B15" s="20">
        <f>B13*B14</f>
        <v>344002969.35408676</v>
      </c>
      <c r="C15" s="20">
        <f>C13*C14</f>
        <v>349735540.70809644</v>
      </c>
      <c r="D15" s="20">
        <f>D13*D14</f>
        <v>355563641.3954443</v>
      </c>
      <c r="E15" s="20">
        <f>E13*E14</f>
        <v>361488863.3463412</v>
      </c>
      <c r="F15" s="20">
        <f>F13*F14</f>
        <v>367512825.01941514</v>
      </c>
    </row>
    <row r="17" spans="1:2" x14ac:dyDescent="0.25">
      <c r="A17" s="22" t="s">
        <v>52</v>
      </c>
      <c r="B17" s="23">
        <f>SUM(B15:F15)</f>
        <v>1778303839.8233838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500076792.42224383</v>
      </c>
    </row>
    <row r="5" spans="1:2" x14ac:dyDescent="0.25">
      <c r="A5" t="s">
        <v>56</v>
      </c>
      <c r="B5" s="18">
        <f>IF(Assumptions!$B$33=0,B4,B4-Forecast!F11-Forecast!F10-Forecast!F12)</f>
        <v>2515336243.097872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0.11143639393316163</v>
      </c>
    </row>
    <row r="7" spans="1:2" x14ac:dyDescent="0.25">
      <c r="A7" t="s">
        <v>58</v>
      </c>
      <c r="B7" s="18">
        <f>-MAX(Forecast!F9,0)*B6</f>
        <v>-280300000.46021324</v>
      </c>
    </row>
    <row r="8" spans="1:2" x14ac:dyDescent="0.25">
      <c r="A8" t="s">
        <v>59</v>
      </c>
      <c r="B8" s="18">
        <f>IF(OR(Assumptions!$B$33=0,Assumptions!B12&lt;=0),B5,MAX(B5+B7,0))</f>
        <v>2235036242.6376586</v>
      </c>
    </row>
    <row r="9" spans="1:2" x14ac:dyDescent="0.25">
      <c r="A9" t="s">
        <v>60</v>
      </c>
      <c r="B9" s="18">
        <f>B8*(1+Assumptions!B12)/(Assumptions!B26-Assumptions!B12)</f>
        <v>49974137863.00998</v>
      </c>
    </row>
    <row r="10" spans="1:2" x14ac:dyDescent="0.25">
      <c r="A10" t="s">
        <v>61</v>
      </c>
      <c r="B10" s="18">
        <f>B9/(1+Assumptions!B26)^(5-0.5*Assumptions!B32)</f>
        <v>36726632513.74585</v>
      </c>
    </row>
    <row r="11" spans="1:2" x14ac:dyDescent="0.25">
      <c r="A11" t="s">
        <v>62</v>
      </c>
      <c r="B11" s="18">
        <f>Forecast!B17+B10</f>
        <v>38504936353.56924</v>
      </c>
    </row>
    <row r="12" spans="1:2" x14ac:dyDescent="0.25">
      <c r="A12" t="s">
        <v>63</v>
      </c>
      <c r="B12" s="18">
        <f>-Assumptions!B30</f>
        <v>-6766000000</v>
      </c>
    </row>
    <row r="13" spans="1:2" x14ac:dyDescent="0.25">
      <c r="A13" t="s">
        <v>64</v>
      </c>
      <c r="B13" s="18">
        <f>B11+B12</f>
        <v>31738936353.569237</v>
      </c>
    </row>
    <row r="14" spans="1:2" x14ac:dyDescent="0.25">
      <c r="A14" s="19" t="s">
        <v>65</v>
      </c>
      <c r="B14" s="24">
        <f>B13/Assumptions!B31</f>
        <v>20.806362465829256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6924226053.091631</v>
      </c>
    </row>
    <row r="18" spans="1:2" x14ac:dyDescent="0.25">
      <c r="A18" t="s">
        <v>60</v>
      </c>
      <c r="B18" s="18">
        <f>B17*Assumptions!B13</f>
        <v>33918568773.008556</v>
      </c>
    </row>
    <row r="19" spans="1:2" x14ac:dyDescent="0.25">
      <c r="A19" t="s">
        <v>61</v>
      </c>
      <c r="B19" s="18">
        <f>B18/(1+Assumptions!B26)^(5-0.5*Assumptions!B32)</f>
        <v>24927189622.22574</v>
      </c>
    </row>
    <row r="20" spans="1:2" x14ac:dyDescent="0.25">
      <c r="A20" t="s">
        <v>62</v>
      </c>
      <c r="B20" s="18">
        <f>Forecast!B17+B19</f>
        <v>26705493462.04912</v>
      </c>
    </row>
    <row r="21" spans="1:2" x14ac:dyDescent="0.25">
      <c r="A21" t="s">
        <v>63</v>
      </c>
      <c r="B21" s="18">
        <f>-Assumptions!B30</f>
        <v>-6766000000</v>
      </c>
    </row>
    <row r="22" spans="1:2" x14ac:dyDescent="0.25">
      <c r="A22" t="s">
        <v>64</v>
      </c>
      <c r="B22" s="18">
        <f>B20+B21</f>
        <v>19939493462.04912</v>
      </c>
    </row>
    <row r="23" spans="1:2" x14ac:dyDescent="0.25">
      <c r="A23" s="19" t="s">
        <v>65</v>
      </c>
      <c r="B23" s="25">
        <f>B22/Assumptions!B31</f>
        <v>13.071273836489867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8.73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20.806362465829256</v>
      </c>
    </row>
    <row r="29" spans="1:2" x14ac:dyDescent="0.25">
      <c r="A29" s="19" t="s">
        <v>73</v>
      </c>
      <c r="B29" s="12">
        <f>B28/B26-1</f>
        <v>1.3833175791327896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0.050842</v>
      </c>
      <c r="B5" s="31">
        <v>31.645687557850636</v>
      </c>
      <c r="C5" s="31">
        <v>36.52399206314682</v>
      </c>
      <c r="D5" s="31">
        <v>43.27866260205876</v>
      </c>
      <c r="E5" s="31">
        <v>53.26012094333401</v>
      </c>
      <c r="F5" s="31">
        <v>69.52365158611721</v>
      </c>
    </row>
    <row r="6" spans="1:6" x14ac:dyDescent="0.25">
      <c r="A6" s="30">
        <v>0.060842</v>
      </c>
      <c r="B6" s="31">
        <v>22.87528151802805</v>
      </c>
      <c r="C6" s="31">
        <v>25.513390301376454</v>
      </c>
      <c r="D6" s="31">
        <v>28.87967721870151</v>
      </c>
      <c r="E6" s="31">
        <v>33.32829154727607</v>
      </c>
      <c r="F6" s="31">
        <v>39.48747069785561</v>
      </c>
    </row>
    <row r="7" spans="1:6" x14ac:dyDescent="0.25">
      <c r="A7" s="30">
        <v>0.070842</v>
      </c>
      <c r="B7" s="31">
        <v>17.283868709414307</v>
      </c>
      <c r="C7" s="31">
        <v>18.874550857429686</v>
      </c>
      <c r="D7" s="32">
        <v>20.806333772654632</v>
      </c>
      <c r="E7" s="31">
        <v>23.204493188602303</v>
      </c>
      <c r="F7" s="31">
        <v>26.264209271302505</v>
      </c>
    </row>
    <row r="8" spans="1:6" x14ac:dyDescent="0.25">
      <c r="A8" s="30">
        <v>0.080842</v>
      </c>
      <c r="B8" s="31">
        <v>13.421092001070194</v>
      </c>
      <c r="C8" s="31">
        <v>14.449848876321397</v>
      </c>
      <c r="D8" s="31">
        <v>15.658193741815795</v>
      </c>
      <c r="E8" s="31">
        <v>17.099110741639944</v>
      </c>
      <c r="F8" s="31">
        <v>18.848700002641394</v>
      </c>
    </row>
    <row r="9" spans="1:6" x14ac:dyDescent="0.25">
      <c r="A9" s="30">
        <v>0.090842</v>
      </c>
      <c r="B9" s="31">
        <v>10.601641236337683</v>
      </c>
      <c r="C9" s="31">
        <v>11.300049466834679</v>
      </c>
      <c r="D9" s="31">
        <v>12.1007568539052</v>
      </c>
      <c r="E9" s="31">
        <v>13.028984254007007</v>
      </c>
      <c r="F9" s="31">
        <v>14.118985458112288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25189000000</v>
      </c>
      <c r="C5" s="18">
        <v>23409000000</v>
      </c>
      <c r="D5" s="18">
        <v>21616000000</v>
      </c>
      <c r="E5" s="18">
        <v>19521000000</v>
      </c>
      <c r="F5" s="8" t="s">
        <v>84</v>
      </c>
    </row>
    <row r="6" spans="1:6" x14ac:dyDescent="0.25">
      <c r="A6" t="s">
        <v>44</v>
      </c>
      <c r="B6" s="18">
        <v>1800000000</v>
      </c>
      <c r="C6" s="18">
        <v>2041000000</v>
      </c>
      <c r="D6" s="18">
        <v>1873000000</v>
      </c>
      <c r="E6" s="18">
        <v>2440000000</v>
      </c>
      <c r="F6" s="8" t="s">
        <v>85</v>
      </c>
    </row>
    <row r="7" spans="1:6" x14ac:dyDescent="0.25">
      <c r="A7" t="s">
        <v>86</v>
      </c>
      <c r="B7" s="18">
        <v>2278000000</v>
      </c>
      <c r="C7" s="18">
        <v>2012000000</v>
      </c>
      <c r="D7" s="18">
        <v>1773000000</v>
      </c>
      <c r="E7" s="18">
        <v>1762000000</v>
      </c>
      <c r="F7" s="8" t="s">
        <v>87</v>
      </c>
    </row>
    <row r="8" spans="1:6" x14ac:dyDescent="0.25">
      <c r="A8" t="s">
        <v>88</v>
      </c>
      <c r="B8" s="18">
        <v>3972000000</v>
      </c>
      <c r="C8" s="18">
        <v>3805000000</v>
      </c>
      <c r="D8" s="18">
        <v>2673000000</v>
      </c>
      <c r="E8" s="18">
        <v>2563000000</v>
      </c>
      <c r="F8" s="8" t="s">
        <v>89</v>
      </c>
    </row>
    <row r="9" spans="1:6" x14ac:dyDescent="0.25">
      <c r="A9" t="s">
        <v>90</v>
      </c>
      <c r="B9" s="18">
        <v>-355000000</v>
      </c>
      <c r="C9" s="18">
        <v>-95000000</v>
      </c>
      <c r="D9" s="18">
        <v>-45000000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10352000000</v>
      </c>
      <c r="C10" s="18">
        <v>7956000000</v>
      </c>
      <c r="D10" s="18">
        <v>6591000000</v>
      </c>
      <c r="E10" s="18">
        <v>6726000000</v>
      </c>
      <c r="F10" s="8" t="s">
        <v>93</v>
      </c>
    </row>
    <row r="11" spans="1:6" x14ac:dyDescent="0.25">
      <c r="A11" t="s">
        <v>94</v>
      </c>
      <c r="B11" s="18">
        <v>3586000000</v>
      </c>
      <c r="C11" s="18">
        <v>2363000000</v>
      </c>
      <c r="D11" s="18">
        <v>1979000000</v>
      </c>
      <c r="E11" s="18">
        <v>3393000000</v>
      </c>
      <c r="F11" s="8" t="s">
        <v>95</v>
      </c>
    </row>
    <row r="12" spans="1:6" x14ac:dyDescent="0.25">
      <c r="A12" t="s">
        <v>32</v>
      </c>
      <c r="B12" s="34">
        <v>1525443787</v>
      </c>
      <c r="C12" s="34">
        <v>1543269231</v>
      </c>
      <c r="D12" s="34">
        <v>1671105193</v>
      </c>
      <c r="E12" s="34">
        <v>1877419355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2026-09-19T00:07:18Z</dcterms:modified>
</cp:coreProperties>
</file>