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<sst xmlns="http://schemas.openxmlformats.org/spreadsheetml/2006/main" count="116" uniqueCount="103">
  <si>
    <t>QBE Insurance Group Limited (QBE.AX)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</si>
  <si>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</si>
  <si>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</si>
  <si>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</si>
  <si>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</si>
  <si>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</si>
  <si>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</si>
  <si>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</si>
  <si>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</si>
  <si>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</si>
  <si>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</si>
  <si>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</si>
  <si>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</si>
  <si>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</si>
  <si>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</si>
  <si>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</si>
  <si>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</si>
  <si>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</si>
  <si>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</si>
  <si>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</si>
  <si>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</si>
  <si>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</si>
  <si>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</si>
  <si>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</si>
  <si>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</si>
  <si>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</si>
  <si>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</si>
  <si>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</si>
  <si>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</si>
  <si>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</si>
  <si>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</si>
  <si>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</si>
  <si>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</si>
  <si>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</si>
  <si>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</si>
  <si>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</si>
  <si>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</si>
  <si>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</si>
  <si>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</si>
  <si>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</si>
  <si>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</si>
  <si>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</si>
  <si>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</si>
  <si>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</si>
  <si>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</si>
  <si>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</si>
  <si>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</si>
  <si>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</si>
  <si>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</si>
  <si>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</si>
  <si>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</si>
  <si>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</si>
  <si>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</si>
  <si>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</si>
  <si>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</si>
  <si>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</si>
  <si>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</si>
  <si>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</si>
  <si>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</si>
  <si>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</si>
  <si>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</si>
  <si>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</si>
  <si>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</si>
  <si>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</si>
  <si>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</si>
  <si>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</si>
  <si>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</si>
  <si>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</si>
  <si>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</si>
  <si>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</si>
  <si>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</si>
  <si>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</si>
  <si>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</si>
  <si>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</si>
  <si>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</si>
  <si>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</si>
  <si>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</si>
  <si>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</si>
  <si>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</si>
  <si>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</si>
  <si>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</si>
  <si>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</si>
  <si>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</si>
  <si>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</si>
  <si>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</si>
  <si>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</si>
  <si>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</si>
  <si>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</si>
  <si>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</si>
  <si>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</si>
  <si>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</si>
  <si>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</si>
  <si>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</si>
  <si>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</si>
  <si>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</si>
  <si>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</si>
  <si>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</si>
  <si>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</si>
  <si>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</si>
  <si>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Some line items were not reported and have been derived. Each one is labelled in the workings below.</t>
  </si>
  <si>
    <t>Adjusted: Reports in USD, trades in AUD. Modelled in USD, converted at the end.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</si>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</sst>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0.13332501270667674</v>
      </c>
    </row>
    <row r="7" spans="1:2" x14ac:dyDescent="0.25">
      <c r="A7" t="s">
        <v>5</v>
      </c>
      <c r="B7" s="6">
        <v>0.11048756230241234</v>
      </c>
    </row>
    <row r="8" spans="1:2" x14ac:dyDescent="0.25">
      <c r="A8" t="s">
        <v>6</v>
      </c>
      <c r="B8" s="6">
        <v>0.2295035437054448</v>
      </c>
    </row>
    <row r="9" spans="1:2" x14ac:dyDescent="0.25">
      <c r="A9" t="s">
        <v>7</v>
      </c>
      <c r="B9" s="6">
        <v>0.008563210330309289</v>
      </c>
    </row>
    <row r="10" spans="1:2" x14ac:dyDescent="0.25">
      <c r="A10" t="s">
        <v>8</v>
      </c>
      <c r="B10" s="6">
        <v>0.01064445358027561</v>
      </c>
    </row>
    <row r="11" spans="1:2" x14ac:dyDescent="0.25">
      <c r="A11" t="s">
        <v>9</v>
      </c>
      <c r="B11" s="6">
        <v>0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0.12139214041915514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0.41240999999999994</v>
      </c>
      <c r="C19" s="8" t="s">
        <v>19</v>
      </c>
    </row>
    <row r="20" spans="1:2" x14ac:dyDescent="0.25">
      <c r="A20" t="s">
        <v>20</v>
      </c>
      <c r="B20" s="10">
        <f>B17+B19*B18</f>
        <v>0.07822459999999999</v>
      </c>
    </row>
    <row r="21" spans="1:3" x14ac:dyDescent="0.25">
      <c r="A21" t="s">
        <v>21</v>
      </c>
      <c r="B21" s="6">
        <v>0.07443223443223443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3930000000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0.057349772864122205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19506000000</v>
      </c>
      <c r="C29" s="8" t="s">
        <v>30</v>
      </c>
    </row>
    <row r="30" spans="1:2" x14ac:dyDescent="0.25">
      <c r="A30" t="s">
        <v>31</v>
      </c>
      <c r="B30" s="11">
        <v>2061000000</v>
      </c>
    </row>
    <row r="31" spans="1:2" x14ac:dyDescent="0.25">
      <c r="A31" t="s">
        <v>32</v>
      </c>
      <c r="B31" s="13">
        <v>1540714286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0.13332501270667674</v>
      </c>
      <c r="C5" s="10">
        <f>Assumptions!B6</f>
        <v>0.13332501270667674</v>
      </c>
      <c r="D5" s="10">
        <f>Assumptions!B6</f>
        <v>0.13332501270667674</v>
      </c>
      <c r="E5" s="10">
        <f>Assumptions!B6</f>
        <v>0.13332501270667674</v>
      </c>
      <c r="F5" s="10">
        <f>Assumptions!B6</f>
        <v>0.13332501270667674</v>
      </c>
    </row>
    <row r="6" spans="1:6" x14ac:dyDescent="0.25">
      <c r="A6" t="s">
        <v>43</v>
      </c>
      <c r="B6" s="18">
        <f>Assumptions!B29*(1+B5)</f>
        <v>22106637697.856438</v>
      </c>
      <c r="C6" s="18">
        <f>B6*(1+C5)</f>
        <v>25054005449.825047</v>
      </c>
      <c r="D6" s="18">
        <f>C6*(1+D5)</f>
        <v>28394331044.77612</v>
      </c>
      <c r="E6" s="18">
        <f>D6*(1+E5)</f>
        <v>32180005592.11848</v>
      </c>
      <c r="F6" s="18">
        <f>E6*(1+F5)</f>
        <v>36470405246.58861</v>
      </c>
    </row>
    <row r="7" spans="1:6" x14ac:dyDescent="0.25">
      <c r="A7" t="s">
        <v>5</v>
      </c>
      <c r="B7" s="10">
        <f>Assumptions!B7</f>
        <v>0.11048756230241234</v>
      </c>
      <c r="C7" s="10">
        <f>Assumptions!B7</f>
        <v>0.11048756230241234</v>
      </c>
      <c r="D7" s="10">
        <f>Assumptions!B7</f>
        <v>0.11048756230241234</v>
      </c>
      <c r="E7" s="10">
        <f>Assumptions!B7</f>
        <v>0.11048756230241234</v>
      </c>
      <c r="F7" s="10">
        <f>Assumptions!B7</f>
        <v>0.11048756230241234</v>
      </c>
    </row>
    <row r="8" spans="1:6" x14ac:dyDescent="0.25">
      <c r="A8" t="s">
        <v>44</v>
      </c>
      <c r="B8" s="18">
        <f>B6*B7</f>
        <v>2442508509.9387703</v>
      </c>
      <c r="C8" s="18">
        <f>C6*C7</f>
        <v>2768155988.0625234</v>
      </c>
      <c r="D8" s="18">
        <f>D6*D7</f>
        <v>3137220420.345022</v>
      </c>
      <c r="E8" s="18">
        <f>E6*E7</f>
        <v>3555490372.7511683</v>
      </c>
      <c r="F8" s="18">
        <f>F6*F7</f>
        <v>4029526171.8766847</v>
      </c>
    </row>
    <row r="9" spans="1:6" x14ac:dyDescent="0.25">
      <c r="A9" t="s">
        <v>45</v>
      </c>
      <c r="B9" s="18">
        <f>B8*(1-Assumptions!B8)</f>
        <v>1881944151.377117</v>
      </c>
      <c r="C9" s="18">
        <f>C8*(1-Assumptions!B8)</f>
        <v>2132854379.2727273</v>
      </c>
      <c r="D9" s="18">
        <f>D8*(1-Assumptions!B8)</f>
        <v>2417217216.4907546</v>
      </c>
      <c r="E9" s="18">
        <f>E8*(1-Assumptions!B8)</f>
        <v>2739492732.5941825</v>
      </c>
      <c r="F9" s="18">
        <f>F8*(1-Assumptions!B8)</f>
        <v>3104735635.9771504</v>
      </c>
    </row>
    <row r="10" spans="1:6" x14ac:dyDescent="0.25">
      <c r="A10" t="s">
        <v>46</v>
      </c>
      <c r="B10" s="18">
        <f>B6*Assumptions!B9</f>
        <v>189303788.302689</v>
      </c>
      <c r="C10" s="18">
        <f>C6*Assumptions!B9</f>
        <v>214542718.28356704</v>
      </c>
      <c r="D10" s="18">
        <f>D6*Assumptions!B9</f>
        <v>243146628.9248486</v>
      </c>
      <c r="E10" s="18">
        <f>E6*Assumptions!B9</f>
        <v>275564156.31583965</v>
      </c>
      <c r="F10" s="18">
        <f>F6*Assumptions!B9</f>
        <v>312303750.95815367</v>
      </c>
    </row>
    <row r="11" spans="1:6" x14ac:dyDescent="0.25">
      <c r="A11" t="s">
        <v>47</v>
      </c>
      <c r="B11" s="18">
        <f>-B6*Assumptions!B10</f>
        <v>-235313078.79080373</v>
      </c>
      <c r="C11" s="18">
        <f>-C6*Assumptions!B10</f>
        <v>-266686198.01063487</v>
      </c>
      <c r="D11" s="18">
        <f>-D6*Assumptions!B10</f>
        <v>-302242138.74909806</v>
      </c>
      <c r="E11" s="18">
        <f>-E6*Assumptions!B10</f>
        <v>-342538575.73831475</v>
      </c>
      <c r="F11" s="18">
        <f>-F6*Assumptions!B10</f>
        <v>-388207535.7011525</v>
      </c>
    </row>
    <row r="12" spans="1:6" x14ac:dyDescent="0.25">
      <c r="A12" t="s">
        <v>48</v>
      </c>
      <c r="B12" s="18">
        <f>-(B6-Assumptions!B29)*Assumptions!B11</f>
        <v>0</v>
      </c>
      <c r="C12" s="18">
        <f>-(C6-B6)*Assumptions!B11</f>
        <v>0</v>
      </c>
      <c r="D12" s="18">
        <f>-(D6-C6)*Assumptions!B11</f>
        <v>0</v>
      </c>
      <c r="E12" s="18">
        <f>-(E6-D6)*Assumptions!B11</f>
        <v>0</v>
      </c>
      <c r="F12" s="18">
        <f>-(F6-E6)*Assumptions!B11</f>
        <v>0</v>
      </c>
    </row>
    <row r="13" spans="1:6" x14ac:dyDescent="0.25">
      <c r="A13" s="19" t="s">
        <v>49</v>
      </c>
      <c r="B13" s="20">
        <f>B9+B10+B11+B12</f>
        <v>1835934860.8890023</v>
      </c>
      <c r="C13" s="20">
        <f>C9+C10+C11+C12</f>
        <v>2080710899.5456595</v>
      </c>
      <c r="D13" s="20">
        <f>D9+D10+D11+D12</f>
        <v>2358121706.666505</v>
      </c>
      <c r="E13" s="20">
        <f>E9+E10+E11+E12</f>
        <v>2672518313.1717076</v>
      </c>
      <c r="F13" s="20">
        <f>F9+F10+F11+F12</f>
        <v>3028831851.234152</v>
      </c>
    </row>
    <row r="14" spans="1:6" x14ac:dyDescent="0.25">
      <c r="A14" t="s">
        <v>50</v>
      </c>
      <c r="B14" s="21">
        <f>1/(1+Assumptions!$B$26)^(1-0.5*Assumptions!$B$32)</f>
        <v>0.9725023553440768</v>
      </c>
      <c r="C14" s="21">
        <f>1/(1+Assumptions!$B$26)^(2-0.5*Assumptions!$B$32)</f>
        <v>0.9197546358853298</v>
      </c>
      <c r="D14" s="21">
        <f>1/(1+Assumptions!$B$26)^(3-0.5*Assumptions!$B$32)</f>
        <v>0.86986790888877</v>
      </c>
      <c r="E14" s="21">
        <f>1/(1+Assumptions!$B$26)^(4-0.5*Assumptions!$B$32)</f>
        <v>0.8226869965011614</v>
      </c>
      <c r="F14" s="21">
        <f>1/(1+Assumptions!$B$26)^(5-0.5*Assumptions!$B$32)</f>
        <v>0.778065137587052</v>
      </c>
    </row>
    <row r="15" spans="1:6" x14ac:dyDescent="0.25">
      <c r="A15" s="19" t="s">
        <v>51</v>
      </c>
      <c r="B15" s="20">
        <f>B13*B14</f>
        <v>1785450976.4728549</v>
      </c>
      <c r="C15" s="20">
        <f>C13*C14</f>
        <v>1913743495.794255</v>
      </c>
      <c r="D15" s="20">
        <f>D13*D14</f>
        <v>2051254397.88321</v>
      </c>
      <c r="E15" s="20">
        <f>E13*E14</f>
        <v>2198646064.1575823</v>
      </c>
      <c r="F15" s="20">
        <f>F13*F14</f>
        <v>2356628471.0585456</v>
      </c>
    </row>
    <row r="17" spans="1:2" x14ac:dyDescent="0.25">
      <c r="A17" s="22" t="s">
        <v>52</v>
      </c>
      <c r="B17" s="23">
        <f>SUM(B15:F15)</f>
        <v>10305723405.366447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3028831851.234152</v>
      </c>
    </row>
    <row r="5" spans="1:2" x14ac:dyDescent="0.25">
      <c r="A5" t="s">
        <v>56</v>
      </c>
      <c r="B5" s="18">
        <f>IF(Assumptions!$B$33=0,B4,B4-Forecast!F11-Forecast!F10-Forecast!F12)</f>
        <v>3104735635.9771504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0.20594414031812486</v>
      </c>
    </row>
    <row r="7" spans="1:2" x14ac:dyDescent="0.25">
      <c r="A7" t="s">
        <v>58</v>
      </c>
      <c r="B7" s="18">
        <f>-MAX(Forecast!F9,0)*B6</f>
        <v>-639402111.4663609</v>
      </c>
    </row>
    <row r="8" spans="1:2" x14ac:dyDescent="0.25">
      <c r="A8" t="s">
        <v>59</v>
      </c>
      <c r="B8" s="18">
        <f>IF(OR(Assumptions!$B$33=0,Assumptions!B12&lt;=0),B5,MAX(B5+B7,0))</f>
        <v>2465333524.5107894</v>
      </c>
    </row>
    <row r="9" spans="1:2" x14ac:dyDescent="0.25">
      <c r="A9" t="s">
        <v>60</v>
      </c>
      <c r="B9" s="18">
        <f>B8*(1+Assumptions!B12)/(Assumptions!B26-Assumptions!B12)</f>
        <v>78113898148.14166</v>
      </c>
    </row>
    <row r="10" spans="1:2" x14ac:dyDescent="0.25">
      <c r="A10" t="s">
        <v>61</v>
      </c>
      <c r="B10" s="18">
        <f>B9/(1+Assumptions!B26)^(5-0.5*Assumptions!B32)</f>
        <v>60777700910.09481</v>
      </c>
    </row>
    <row r="11" spans="1:2" x14ac:dyDescent="0.25">
      <c r="A11" t="s">
        <v>62</v>
      </c>
      <c r="B11" s="18">
        <f>Forecast!B17+B10</f>
        <v>71083424315.46126</v>
      </c>
    </row>
    <row r="12" spans="1:2" x14ac:dyDescent="0.25">
      <c r="A12" t="s">
        <v>63</v>
      </c>
      <c r="B12" s="18">
        <f>-Assumptions!B30</f>
        <v>-2061000000</v>
      </c>
    </row>
    <row r="13" spans="1:2" x14ac:dyDescent="0.25">
      <c r="A13" t="s">
        <v>64</v>
      </c>
      <c r="B13" s="18">
        <f>B11+B12</f>
        <v>69022424315.46126</v>
      </c>
    </row>
    <row r="14" spans="1:2" x14ac:dyDescent="0.25">
      <c r="A14" s="19" t="s">
        <v>65</v>
      </c>
      <c r="B14" s="24">
        <f>B13/Assumptions!B31</f>
        <v>44.79897729426341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4341829922.834838</v>
      </c>
    </row>
    <row r="18" spans="1:2" x14ac:dyDescent="0.25">
      <c r="A18" t="s">
        <v>60</v>
      </c>
      <c r="B18" s="18">
        <f>B17*Assumptions!B13</f>
        <v>34734639382.6787</v>
      </c>
    </row>
    <row r="19" spans="1:2" x14ac:dyDescent="0.25">
      <c r="A19" t="s">
        <v>61</v>
      </c>
      <c r="B19" s="18">
        <f>B18/(1+Assumptions!B26)^(5-0.5*Assumptions!B32)</f>
        <v>27025811970.32054</v>
      </c>
    </row>
    <row r="20" spans="1:2" x14ac:dyDescent="0.25">
      <c r="A20" t="s">
        <v>62</v>
      </c>
      <c r="B20" s="18">
        <f>Forecast!B17+B19</f>
        <v>37331535375.68699</v>
      </c>
    </row>
    <row r="21" spans="1:2" x14ac:dyDescent="0.25">
      <c r="A21" t="s">
        <v>63</v>
      </c>
      <c r="B21" s="18">
        <f>-Assumptions!B30</f>
        <v>-2061000000</v>
      </c>
    </row>
    <row r="22" spans="1:2" x14ac:dyDescent="0.25">
      <c r="A22" t="s">
        <v>64</v>
      </c>
      <c r="B22" s="18">
        <f>B20+B21</f>
        <v>35270535375.68699</v>
      </c>
    </row>
    <row r="23" spans="1:2" x14ac:dyDescent="0.25">
      <c r="A23" s="19" t="s">
        <v>65</v>
      </c>
      <c r="B23" s="25">
        <f>B22/Assumptions!B31</f>
        <v>22.89232708243155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23.39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62.906723916604676</v>
      </c>
    </row>
    <row r="29" spans="1:2" x14ac:dyDescent="0.25">
      <c r="A29" s="19" t="s">
        <v>73</v>
      </c>
      <c r="B29" s="12">
        <f>B28/B26-1</f>
        <v>1.6894708814281607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0.03735</v>
      </c>
      <c r="B5" s="31">
        <v>73.70526237436505</v>
      </c>
      <c r="C5" s="31">
        <v>89.59771311811015</v>
      </c>
      <c r="D5" s="31">
        <v>118.3015612719718</v>
      </c>
      <c r="E5" s="31">
        <v>185.9625158361881</v>
      </c>
      <c r="F5" s="31">
        <v>541.2429581534487</v>
      </c>
    </row>
    <row r="6" spans="1:6" x14ac:dyDescent="0.25">
      <c r="A6" s="30">
        <v>0.04735</v>
      </c>
      <c r="B6" s="31">
        <v>50.520376170679434</v>
      </c>
      <c r="C6" s="31">
        <v>56.49533386997027</v>
      </c>
      <c r="D6" s="31">
        <v>65.11349350898062</v>
      </c>
      <c r="E6" s="31">
        <v>78.66004408458622</v>
      </c>
      <c r="F6" s="31">
        <v>103.12088551977726</v>
      </c>
    </row>
    <row r="7" spans="1:6" x14ac:dyDescent="0.25">
      <c r="A7" s="30">
        <v>0.05735</v>
      </c>
      <c r="B7" s="31">
        <v>38.28562329378104</v>
      </c>
      <c r="C7" s="31">
        <v>41.11483995852247</v>
      </c>
      <c r="D7" s="32">
        <v>44.79865839970458</v>
      </c>
      <c r="E7" s="31">
        <v>49.80578160257825</v>
      </c>
      <c r="F7" s="31">
        <v>57.02433356827875</v>
      </c>
    </row>
    <row r="8" spans="1:6" x14ac:dyDescent="0.25">
      <c r="A8" s="30">
        <v>0.06735</v>
      </c>
      <c r="B8" s="31">
        <v>30.7259055381343</v>
      </c>
      <c r="C8" s="31">
        <v>32.22827575551367</v>
      </c>
      <c r="D8" s="31">
        <v>34.07078026492059</v>
      </c>
      <c r="E8" s="31">
        <v>36.390019183635246</v>
      </c>
      <c r="F8" s="31">
        <v>39.40704401520059</v>
      </c>
    </row>
    <row r="9" spans="1:6" x14ac:dyDescent="0.25">
      <c r="A9" s="30">
        <v>0.07735</v>
      </c>
      <c r="B9" s="31">
        <v>25.591842512391374</v>
      </c>
      <c r="C9" s="31">
        <v>26.43884712379665</v>
      </c>
      <c r="D9" s="31">
        <v>27.436309618409314</v>
      </c>
      <c r="E9" s="31">
        <v>28.63189352839647</v>
      </c>
      <c r="F9" s="31">
        <v>30.095771728152847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19506000000</v>
      </c>
      <c r="C5" s="18">
        <v>18745000000</v>
      </c>
      <c r="D5" s="18">
        <v>17446000000</v>
      </c>
      <c r="E5" s="18">
        <v>13400000000</v>
      </c>
      <c r="F5" s="8" t="s">
        <v>84</v>
      </c>
    </row>
    <row r="6" spans="1:6" x14ac:dyDescent="0.25">
      <c r="A6" t="s">
        <v>44</v>
      </c>
      <c r="B6" s="18">
        <v>2845000000</v>
      </c>
      <c r="C6" s="18">
        <v>2291000000</v>
      </c>
      <c r="D6" s="18">
        <v>1837000000</v>
      </c>
      <c r="E6" s="18">
        <v>919000000</v>
      </c>
      <c r="F6" s="8" t="s">
        <v>85</v>
      </c>
    </row>
    <row r="7" spans="1:6" x14ac:dyDescent="0.25">
      <c r="A7" t="s">
        <v>86</v>
      </c>
      <c r="B7" s="18">
        <v>181000000</v>
      </c>
      <c r="C7" s="18">
        <v>172000000</v>
      </c>
      <c r="D7" s="18">
        <v>135000000</v>
      </c>
      <c r="E7" s="18">
        <v>108000000</v>
      </c>
      <c r="F7" s="8" t="s">
        <v>87</v>
      </c>
    </row>
    <row r="8" spans="1:6" x14ac:dyDescent="0.25">
      <c r="A8" t="s">
        <v>88</v>
      </c>
      <c r="B8" s="18">
        <v>159000000</v>
      </c>
      <c r="C8" s="18">
        <v>234000000</v>
      </c>
      <c r="D8" s="18">
        <v>168000000</v>
      </c>
      <c r="E8" s="18">
        <v>165000000</v>
      </c>
      <c r="F8" s="8" t="s">
        <v>89</v>
      </c>
    </row>
    <row r="9" spans="1:6" x14ac:dyDescent="0.25">
      <c r="A9" t="s">
        <v>90</v>
      </c>
      <c r="B9" s="18">
        <v>0</v>
      </c>
      <c r="C9" s="18">
        <v>0</v>
      </c>
      <c r="D9" s="18">
        <v>0</v>
      </c>
      <c r="E9" s="18">
        <v>0</v>
      </c>
      <c r="F9" s="8" t="s">
        <v>85</v>
      </c>
    </row>
    <row r="10" spans="1:6" x14ac:dyDescent="0.25">
      <c r="A10" t="s">
        <v>91</v>
      </c>
      <c r="B10" s="18">
        <v>3930000000</v>
      </c>
      <c r="C10" s="18">
        <v>2895000000</v>
      </c>
      <c r="D10" s="18">
        <v>3087000000</v>
      </c>
      <c r="E10" s="18">
        <v>3045000000</v>
      </c>
      <c r="F10" s="8" t="s">
        <v>92</v>
      </c>
    </row>
    <row r="11" spans="1:6" x14ac:dyDescent="0.25">
      <c r="A11" t="s">
        <v>93</v>
      </c>
      <c r="B11" s="18">
        <v>1869000000</v>
      </c>
      <c r="C11" s="18">
        <v>1638000000</v>
      </c>
      <c r="D11" s="18">
        <v>1366000000</v>
      </c>
      <c r="E11" s="18">
        <v>833000000</v>
      </c>
      <c r="F11" s="8" t="s">
        <v>94</v>
      </c>
    </row>
    <row r="12" spans="1:6" x14ac:dyDescent="0.25">
      <c r="A12" t="s">
        <v>32</v>
      </c>
      <c r="B12" s="34">
        <v>1540714286</v>
      </c>
      <c r="C12" s="34">
        <v>1501000000</v>
      </c>
      <c r="D12" s="34">
        <v>1490000000</v>
      </c>
      <c r="E12" s="34">
        <v>1482000000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54" customHeight="1" spans="1:6" x14ac:dyDescent="0.25">
      <c r="A17" s="35" t="s">
        <v>98</v>
      </c>
      <c r="B17" s="35"/>
      <c r="C17" s="35"/>
      <c r="D17" s="35"/>
      <c r="E17" s="35"/>
      <c r="F17" s="35"/>
    </row>
    <row r="18" ht="22" customHeight="1" spans="1:6" x14ac:dyDescent="0.25">
      <c r="A18" s="35" t="s">
        <v>99</v>
      </c>
      <c r="B18" s="35"/>
      <c r="C18" s="35"/>
      <c r="D18" s="35"/>
      <c r="E18" s="35"/>
      <c r="F18" s="35"/>
    </row>
    <row r="19" ht="22" customHeight="1" spans="1:6" x14ac:dyDescent="0.25">
      <c r="A19" s="35" t="s">
        <v>100</v>
      </c>
      <c r="B19" s="35"/>
      <c r="C19" s="35"/>
      <c r="D19" s="35"/>
      <c r="E19" s="35"/>
      <c r="F19" s="35"/>
    </row>
    <row r="20" ht="22" customHeight="1" spans="1:6" x14ac:dyDescent="0.25">
      <c r="A20" s="35" t="s">
        <v>101</v>
      </c>
      <c r="B20" s="35"/>
      <c r="C20" s="35"/>
      <c r="D20" s="35"/>
      <c r="E20" s="35"/>
      <c r="F20" s="35"/>
    </row>
    <row r="22" spans="1:1" x14ac:dyDescent="0.25">
      <c r="A22" s="36" t="s">
        <v>102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2026-09-19T00:08:08Z</dcterms:modified>
</cp:coreProperties>
</file>