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<sst xmlns="http://schemas.openxmlformats.org/spreadsheetml/2006/main" count="119" uniqueCount="106">
  <si>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QUALCOMM Incorporated (QCOM)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</si>
  <si>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</si>
  <si>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</si>
  <si>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</si>
  <si>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</si>
  <si>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</si>
  <si>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</si>
  <si>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</si>
  <si>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</si>
  <si>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</si>
  <si>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</si>
  <si>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</si>
  <si>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</si>
  <si>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</si>
  <si>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</si>
  <si>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</si>
  <si>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</si>
  <si>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</si>
  <si>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</si>
  <si>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</si>
  <si>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</si>
  <si>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</si>
  <si>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</si>
  <si>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</si>
  <si>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18.7x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</si>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</sst>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-0.03190702578809501</v>
      </c>
    </row>
    <row r="7" spans="1:2" x14ac:dyDescent="0.25">
      <c r="A7" t="s">
        <v>4</v>
      </c>
      <c r="B7" s="5">
        <v>0.2858344813568252</v>
      </c>
    </row>
    <row r="8" spans="1:2" x14ac:dyDescent="0.25">
      <c r="A8" t="s">
        <v>5</v>
      </c>
      <c r="B8" s="5">
        <v>0.07800827262004387</v>
      </c>
    </row>
    <row r="9" spans="1:2" x14ac:dyDescent="0.25">
      <c r="A9" t="s">
        <v>6</v>
      </c>
      <c r="B9" s="5">
        <v>0.04258215328071392</v>
      </c>
    </row>
    <row r="10" spans="1:3" x14ac:dyDescent="0.25">
      <c r="A10" t="s">
        <v>7</v>
      </c>
      <c r="B10" s="5">
        <v>0.03632304029855568</v>
      </c>
      <c r="C10" s="6" t="s">
        <v>8</v>
      </c>
    </row>
    <row r="11" spans="1:2" x14ac:dyDescent="0.25">
      <c r="A11" t="s">
        <v>9</v>
      </c>
      <c r="B11" s="5">
        <v>0.15540314138314604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12.905491242069163</v>
      </c>
    </row>
    <row r="14" spans="1:3" x14ac:dyDescent="0.25">
      <c r="A14" t="s">
        <v>12</v>
      </c>
      <c r="B14" s="5">
        <v>0.2741776824216</v>
      </c>
      <c r="C14" s="6" t="s">
        <v>13</v>
      </c>
    </row>
    <row r="15" spans="1:3" x14ac:dyDescent="0.25">
      <c r="A15" t="s">
        <v>14</v>
      </c>
      <c r="B15" s="5">
        <v>0.04258215328071392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1.4361700000000002</v>
      </c>
      <c r="C19" s="6" t="s">
        <v>21</v>
      </c>
    </row>
    <row r="20" spans="1:2" x14ac:dyDescent="0.25">
      <c r="A20" t="s">
        <v>22</v>
      </c>
      <c r="B20" s="9">
        <f>B17+B19*B18</f>
        <v>0.10968999100000001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175969255424</v>
      </c>
    </row>
    <row r="23" spans="1:2" x14ac:dyDescent="0.25">
      <c r="A23" t="s">
        <v>26</v>
      </c>
      <c r="B23" s="10">
        <v>14811000000</v>
      </c>
    </row>
    <row r="24" spans="1:2" x14ac:dyDescent="0.25">
      <c r="A24" t="s">
        <v>27</v>
      </c>
      <c r="B24" s="9">
        <f>B22/(B22+B23)</f>
        <v>0.9223661800479129</v>
      </c>
    </row>
    <row r="25" spans="1:2" x14ac:dyDescent="0.25">
      <c r="A25" t="s">
        <v>28</v>
      </c>
      <c r="B25" s="9">
        <f>1-B24</f>
        <v>0.07763381995208707</v>
      </c>
    </row>
    <row r="26" spans="1:2" x14ac:dyDescent="0.25">
      <c r="A26" t="s">
        <v>29</v>
      </c>
      <c r="B26" s="11">
        <f>B24*B20+B25*B21*(1-B8)</f>
        <v>0.10496366353109297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44284000000</v>
      </c>
      <c r="C29" s="6" t="s">
        <v>32</v>
      </c>
    </row>
    <row r="30" spans="1:2" x14ac:dyDescent="0.25">
      <c r="A30" t="s">
        <v>33</v>
      </c>
      <c r="B30" s="10">
        <v>4656000000</v>
      </c>
    </row>
    <row r="31" spans="1:2" x14ac:dyDescent="0.25">
      <c r="A31" t="s">
        <v>34</v>
      </c>
      <c r="B31" s="12">
        <v>1105000000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-0.03190702578809501</v>
      </c>
      <c r="C5" s="5">
        <v>0.0464496704163222</v>
      </c>
      <c r="D5" s="5">
        <v>0.043768461614281925</v>
      </c>
      <c r="E5" s="5">
        <v>0.04108725281224165</v>
      </c>
      <c r="F5" s="5">
        <v>0.038406044010201375</v>
      </c>
      <c r="G5" s="5">
        <v>0.035724835208161096</v>
      </c>
      <c r="H5" s="5">
        <v>0.033043626406120824</v>
      </c>
      <c r="I5" s="5">
        <v>0.030362417604080552</v>
      </c>
      <c r="J5" s="5">
        <v>0.027681208802040277</v>
      </c>
      <c r="K5" s="5">
        <v>0.025</v>
      </c>
    </row>
    <row r="6" spans="1:11" x14ac:dyDescent="0.25">
      <c r="A6" t="s">
        <v>50</v>
      </c>
      <c r="B6" s="18">
        <f>Assumptions!B29*(1+B5)</f>
        <v>42871029270</v>
      </c>
      <c r="C6" s="18">
        <f>B6*(1+C5)</f>
        <v>44862374450</v>
      </c>
      <c r="D6" s="18">
        <f>C6*(1+D5)</f>
        <v>46825931564.04037</v>
      </c>
      <c r="E6" s="18">
        <f>D6*(1+E5)</f>
        <v>48749880452.38082</v>
      </c>
      <c r="F6" s="18">
        <f>E6*(1+F5)</f>
        <v>50622170506.527016</v>
      </c>
      <c r="G6" s="18">
        <f>F6*(1+G5)</f>
        <v>52430639205.75213</v>
      </c>
      <c r="H6" s="18">
        <f>G6*(1+H5)</f>
        <v>54163137659.901115</v>
      </c>
      <c r="I6" s="18">
        <f>H6*(1+I5)</f>
        <v>55807661464.27834</v>
      </c>
      <c r="J6" s="18">
        <f>I6*(1+J5)</f>
        <v>57352484994.024605</v>
      </c>
      <c r="K6" s="18">
        <f>J6*(1+K5)</f>
        <v>58786297118.87521</v>
      </c>
    </row>
    <row r="7" spans="1:11" x14ac:dyDescent="0.25">
      <c r="A7" t="s">
        <v>4</v>
      </c>
      <c r="B7" s="9">
        <f>Assumptions!B7</f>
        <v>0.2858344813568252</v>
      </c>
      <c r="C7" s="9">
        <f>Assumptions!B7</f>
        <v>0.2858344813568252</v>
      </c>
      <c r="D7" s="9">
        <f>Assumptions!B7</f>
        <v>0.2858344813568252</v>
      </c>
      <c r="E7" s="9">
        <f>Assumptions!B7</f>
        <v>0.2858344813568252</v>
      </c>
      <c r="F7" s="9">
        <f>Assumptions!B7</f>
        <v>0.2858344813568252</v>
      </c>
      <c r="G7" s="9">
        <f>Assumptions!B7</f>
        <v>0.2858344813568252</v>
      </c>
      <c r="H7" s="9">
        <f>Assumptions!B7</f>
        <v>0.2858344813568252</v>
      </c>
      <c r="I7" s="9">
        <f>Assumptions!B7</f>
        <v>0.2858344813568252</v>
      </c>
      <c r="J7" s="9">
        <f>Assumptions!B7</f>
        <v>0.2858344813568252</v>
      </c>
      <c r="K7" s="9">
        <f>Assumptions!B7</f>
        <v>0.2858344813568252</v>
      </c>
    </row>
    <row r="8" spans="1:11" x14ac:dyDescent="0.25">
      <c r="A8" t="s">
        <v>51</v>
      </c>
      <c r="B8" s="18">
        <f>B6*B7</f>
        <v>12254018416.623722</v>
      </c>
      <c r="C8" s="18">
        <f>C6*C7</f>
        <v>12823213533.351437</v>
      </c>
      <c r="D8" s="18">
        <f>D6*D7</f>
        <v>13384465862.65767</v>
      </c>
      <c r="E8" s="18">
        <f>E6*E7</f>
        <v>13934396795.313503</v>
      </c>
      <c r="F8" s="18">
        <f>F6*F7</f>
        <v>14469561851.889923</v>
      </c>
      <c r="G8" s="18">
        <f>G6*G7</f>
        <v>14986484564.582985</v>
      </c>
      <c r="H8" s="18">
        <f>H6*H7</f>
        <v>15481692361.676163</v>
      </c>
      <c r="I8" s="18">
        <f>I6*I7</f>
        <v>15951753970.37928</v>
      </c>
      <c r="J8" s="18">
        <f>J6*J7</f>
        <v>16393317802.792124</v>
      </c>
      <c r="K8" s="18">
        <f>K6*K7</f>
        <v>16803150747.861925</v>
      </c>
    </row>
    <row r="9" spans="1:11" x14ac:dyDescent="0.25">
      <c r="A9" t="s">
        <v>52</v>
      </c>
      <c r="B9" s="18">
        <f>B8*(1-Assumptions!B8)</f>
        <v>11298103607.2887</v>
      </c>
      <c r="C9" s="18">
        <f>C8*(1-Assumptions!B8)</f>
        <v>11822896796.176722</v>
      </c>
      <c r="D9" s="18">
        <f>D8*(1-Assumptions!B8)</f>
        <v>12340366800.7698</v>
      </c>
      <c r="E9" s="18">
        <f>E8*(1-Assumptions!B8)</f>
        <v>12847398571.308823</v>
      </c>
      <c r="F9" s="18">
        <f>F8*(1-Assumptions!B8)</f>
        <v>13340816326.255108</v>
      </c>
      <c r="G9" s="18">
        <f>G8*(1-Assumptions!B8)</f>
        <v>13817414791.052916</v>
      </c>
      <c r="H9" s="18">
        <f>H8*(1-Assumptions!B8)</f>
        <v>14273992283.306879</v>
      </c>
      <c r="I9" s="18">
        <f>I8*(1-Assumptions!B8)</f>
        <v>14707385197.890066</v>
      </c>
      <c r="J9" s="18">
        <f>J8*(1-Assumptions!B8)</f>
        <v>15114503398.484898</v>
      </c>
      <c r="K9" s="18">
        <f>K8*(1-Assumptions!B8)</f>
        <v>15492365983.447018</v>
      </c>
    </row>
    <row r="10" spans="1:11" x14ac:dyDescent="0.25">
      <c r="A10" t="s">
        <v>53</v>
      </c>
      <c r="B10" s="18">
        <f>B6*Assumptions!B9</f>
        <v>1825540739.677113</v>
      </c>
      <c r="C10" s="18">
        <f>C6*Assumptions!B9</f>
        <v>1910336505.366684</v>
      </c>
      <c r="D10" s="18">
        <f>D6*Assumptions!B9</f>
        <v>1993948995.3721871</v>
      </c>
      <c r="E10" s="18">
        <f>E6*Assumptions!B9</f>
        <v>2075874881.8397596</v>
      </c>
      <c r="F10" s="18">
        <f>F6*Assumptions!B9</f>
        <v>2155601023.911369</v>
      </c>
      <c r="G10" s="18">
        <f>G6*Assumptions!B9</f>
        <v>2232609515.265146</v>
      </c>
      <c r="H10" s="18">
        <f>H6*Assumptions!B9</f>
        <v>2306383029.998318</v>
      </c>
      <c r="I10" s="18">
        <f>I6*Assumptions!B9</f>
        <v>2376410394.710092</v>
      </c>
      <c r="J10" s="18">
        <f>J6*Assumptions!B9</f>
        <v>2442192307.0454006</v>
      </c>
      <c r="K10" s="18">
        <f>K6*Assumptions!B9</f>
        <v>2503247114.7215357</v>
      </c>
    </row>
    <row r="11" spans="1:11" x14ac:dyDescent="0.25">
      <c r="A11" t="s">
        <v>54</v>
      </c>
      <c r="B11" s="18">
        <f>-B6*B19</f>
        <v>-1557206123.8147702</v>
      </c>
      <c r="C11" s="18">
        <f>-C6*C19</f>
        <v>-1780519063.0049675</v>
      </c>
      <c r="D11" s="18">
        <f>-D6*D19</f>
        <v>-2016039087.3171465</v>
      </c>
      <c r="E11" s="18">
        <f>-E6*E19</f>
        <v>-2262936956.3548603</v>
      </c>
      <c r="F11" s="18">
        <f>-F6*F19</f>
        <v>-2520212837.154269</v>
      </c>
      <c r="G11" s="18">
        <f>-G6*G19</f>
        <v>-2786698726.62648</v>
      </c>
      <c r="H11" s="18">
        <f>-H6*H19</f>
        <v>-3061063663.5232844</v>
      </c>
      <c r="I11" s="18">
        <f>-I6*I19</f>
        <v>-3341821793.529976</v>
      </c>
      <c r="J11" s="18">
        <f>-J6*J19</f>
        <v>-3627343294.192405</v>
      </c>
      <c r="K11" s="18">
        <f>-K6*K19</f>
        <v>-3915868106.209145</v>
      </c>
    </row>
    <row r="12" spans="1:11" x14ac:dyDescent="0.25">
      <c r="A12" t="s">
        <v>55</v>
      </c>
      <c r="B12" s="18">
        <f>-(B6-Assumptions!B29)*Assumptions!B11</f>
        <v>219580090.12443706</v>
      </c>
      <c r="C12" s="18">
        <f>-(C6-B6)*Assumptions!B11</f>
        <v>-309461296.5501864</v>
      </c>
      <c r="D12" s="18">
        <f>-(D6-C6)*Assumptions!B11</f>
        <v>-305142943.8070974</v>
      </c>
      <c r="E12" s="18">
        <f>-(E6-D6)*Assumptions!B11</f>
        <v>-298987701.1087182</v>
      </c>
      <c r="F12" s="18">
        <f>-(F6-E6)*Assumptions!B11</f>
        <v>-290959755.99473923</v>
      </c>
      <c r="G12" s="18">
        <f>-(G6-F6)*Assumptions!B11</f>
        <v>-281041716.95267445</v>
      </c>
      <c r="H12" s="18">
        <f>-(H6-G6)*Assumptions!B11</f>
        <v>-269235702.21619695</v>
      </c>
      <c r="I12" s="18">
        <f>-(I6-H6)*Assumptions!B11</f>
        <v>-255564165.2795835</v>
      </c>
      <c r="J12" s="18">
        <f>-(J6-I6)*Assumptions!B11</f>
        <v>-240070429.405169</v>
      </c>
      <c r="K12" s="18">
        <f>-(K6-J6)*Assumptions!B11</f>
        <v>-222818908.3550282</v>
      </c>
    </row>
    <row r="13" spans="1:11" x14ac:dyDescent="0.25">
      <c r="A13" s="19" t="s">
        <v>56</v>
      </c>
      <c r="B13" s="20">
        <f>B9+B10+B11+B12</f>
        <v>11786018313.27548</v>
      </c>
      <c r="C13" s="20">
        <f>C9+C10+C11+C12</f>
        <v>11643252941.988253</v>
      </c>
      <c r="D13" s="20">
        <f>D9+D10+D11+D12</f>
        <v>12013133765.017744</v>
      </c>
      <c r="E13" s="20">
        <f>E9+E10+E11+E12</f>
        <v>12361348795.685003</v>
      </c>
      <c r="F13" s="20">
        <f>F9+F10+F11+F12</f>
        <v>12685244757.017467</v>
      </c>
      <c r="G13" s="20">
        <f>G9+G10+G11+G12</f>
        <v>12982283862.738907</v>
      </c>
      <c r="H13" s="20">
        <f>H9+H10+H11+H12</f>
        <v>13250075947.565716</v>
      </c>
      <c r="I13" s="20">
        <f>I9+I10+I11+I12</f>
        <v>13486409633.7906</v>
      </c>
      <c r="J13" s="20">
        <f>J9+J10+J11+J12</f>
        <v>13689281981.932722</v>
      </c>
      <c r="K13" s="20">
        <f>K9+K10+K11+K12</f>
        <v>13856926083.60438</v>
      </c>
    </row>
    <row r="14" spans="1:11" x14ac:dyDescent="0.25">
      <c r="A14" t="s">
        <v>57</v>
      </c>
      <c r="B14" s="21">
        <f>1/(1+Assumptions!$B$26)^(1-0.5*Assumptions!$B$32)</f>
        <v>0.9513186298673577</v>
      </c>
      <c r="C14" s="21">
        <f>1/(1+Assumptions!$B$26)^(2-0.5*Assumptions!$B$32)</f>
        <v>0.8609501481951567</v>
      </c>
      <c r="D14" s="21">
        <f>1/(1+Assumptions!$B$26)^(3-0.5*Assumptions!$B$32)</f>
        <v>0.7791660274545582</v>
      </c>
      <c r="E14" s="21">
        <f>1/(1+Assumptions!$B$26)^(4-0.5*Assumptions!$B$32)</f>
        <v>0.7051508146110481</v>
      </c>
      <c r="F14" s="21">
        <f>1/(1+Assumptions!$B$26)^(5-0.5*Assumptions!$B$32)</f>
        <v>0.6381665188496994</v>
      </c>
      <c r="G14" s="21">
        <f>1/(1+Assumptions!$B$26)^(6-0.5*Assumptions!$B$32)</f>
        <v>0.5775452532170456</v>
      </c>
      <c r="H14" s="21">
        <f>1/(1+Assumptions!$B$26)^(7-0.5*Assumptions!$B$32)</f>
        <v>0.5226825752544703</v>
      </c>
      <c r="I14" s="21">
        <f>1/(1+Assumptions!$B$26)^(8-0.5*Assumptions!$B$32)</f>
        <v>0.4730314602239066</v>
      </c>
      <c r="J14" s="21">
        <f>1/(1+Assumptions!$B$26)^(9-0.5*Assumptions!$B$32)</f>
        <v>0.4280968468340912</v>
      </c>
      <c r="K14" s="21">
        <f>1/(1+Assumptions!$B$26)^(10-0.5*Assumptions!$B$32)</f>
        <v>0.38743070108390487</v>
      </c>
    </row>
    <row r="15" spans="1:11" x14ac:dyDescent="0.25">
      <c r="A15" s="19" t="s">
        <v>58</v>
      </c>
      <c r="B15" s="20">
        <f>B13*B14</f>
        <v>11212258793.376816</v>
      </c>
      <c r="C15" s="20">
        <f>C13*C14</f>
        <v>10024260345.87848</v>
      </c>
      <c r="D15" s="20">
        <f>D13*D14</f>
        <v>9360225712.969095</v>
      </c>
      <c r="E15" s="20">
        <f>E13*E14</f>
        <v>8716615172.968578</v>
      </c>
      <c r="F15" s="20">
        <f>F13*F14</f>
        <v>8095298487.342238</v>
      </c>
      <c r="G15" s="20">
        <f>G13*G14</f>
        <v>7497856420.841107</v>
      </c>
      <c r="H15" s="20">
        <f>H13*H14</f>
        <v>6925583818.590963</v>
      </c>
      <c r="I15" s="20">
        <f>I13*I14</f>
        <v>6379496042.249728</v>
      </c>
      <c r="J15" s="20">
        <f>J13*J14</f>
        <v>5860338451.888137</v>
      </c>
      <c r="K15" s="20">
        <f>K13*K14</f>
        <v>5368598587.438693</v>
      </c>
    </row>
    <row r="17" spans="1:2" x14ac:dyDescent="0.25">
      <c r="A17" s="22" t="s">
        <v>59</v>
      </c>
      <c r="B17" s="23">
        <f>SUM(B15:K15)</f>
        <v>79440531833.54382</v>
      </c>
    </row>
    <row r="19" spans="1:11" x14ac:dyDescent="0.25">
      <c r="A19" t="s">
        <v>7</v>
      </c>
      <c r="B19" s="9">
        <f>Assumptions!$B$10+($B$20-Assumptions!$B$10)*0/9</f>
        <v>0.03632304029855568</v>
      </c>
      <c r="C19" s="9">
        <f>Assumptions!$B$10+($B$20-Assumptions!$B$10)*1/9</f>
        <v>0.03968847134895615</v>
      </c>
      <c r="D19" s="9">
        <f>Assumptions!$B$10+($B$20-Assumptions!$B$10)*2/9</f>
        <v>0.04305390239935662</v>
      </c>
      <c r="E19" s="9">
        <f>Assumptions!$B$10+($B$20-Assumptions!$B$10)*3/9</f>
        <v>0.046419333449757086</v>
      </c>
      <c r="F19" s="9">
        <f>Assumptions!$B$10+($B$20-Assumptions!$B$10)*4/9</f>
        <v>0.04978476450015756</v>
      </c>
      <c r="G19" s="9">
        <f>Assumptions!$B$10+($B$20-Assumptions!$B$10)*5/9</f>
        <v>0.05315019555055803</v>
      </c>
      <c r="H19" s="9">
        <f>Assumptions!$B$10+($B$20-Assumptions!$B$10)*6/9</f>
        <v>0.0565156266009585</v>
      </c>
      <c r="I19" s="9">
        <f>Assumptions!$B$10+($B$20-Assumptions!$B$10)*7/9</f>
        <v>0.05988105765135897</v>
      </c>
      <c r="J19" s="9">
        <f>Assumptions!$B$10+($B$20-Assumptions!$B$10)*8/9</f>
        <v>0.06324648870175945</v>
      </c>
      <c r="K19" s="9">
        <f>Assumptions!$B$10+($B$20-Assumptions!$B$10)*9/9</f>
        <v>0.06661191975215991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0.06661191975215991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13856926083.60438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15492365983.447018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0.09118174673880923</v>
      </c>
    </row>
    <row r="7" spans="1:2" x14ac:dyDescent="0.25">
      <c r="A7" t="s">
        <v>66</v>
      </c>
      <c r="B7" s="18">
        <f>-MAX(B5,0)*B6</f>
        <v>-1412620991.4876091</v>
      </c>
    </row>
    <row r="8" spans="1:2" x14ac:dyDescent="0.25">
      <c r="A8" t="s">
        <v>67</v>
      </c>
      <c r="B8" s="18">
        <f>IF(OR(Assumptions!$B$33=0,Assumptions!B12&lt;=0),B5,MAX(B5+B7,0))</f>
        <v>14079744991.959408</v>
      </c>
    </row>
    <row r="9" spans="1:2" x14ac:dyDescent="0.25">
      <c r="A9" t="s">
        <v>68</v>
      </c>
      <c r="B9" s="18">
        <f>B8*(1+Assumptions!B12)/(Assumptions!B26-Assumptions!B12)</f>
        <v>180478707196.13507</v>
      </c>
    </row>
    <row r="10" spans="1:2" x14ac:dyDescent="0.25">
      <c r="A10" t="s">
        <v>69</v>
      </c>
      <c r="B10" s="18">
        <f>B9/(1+Assumptions!B26)^(10-0.5*Assumptions!B32)</f>
        <v>69922992059.7154</v>
      </c>
    </row>
    <row r="11" spans="1:2" x14ac:dyDescent="0.25">
      <c r="A11" t="s">
        <v>70</v>
      </c>
      <c r="B11" s="18">
        <f>Forecast!B17+B10</f>
        <v>149363523893.25922</v>
      </c>
    </row>
    <row r="12" spans="1:2" x14ac:dyDescent="0.25">
      <c r="A12" t="s">
        <v>71</v>
      </c>
      <c r="B12" s="18">
        <f>-Assumptions!B30</f>
        <v>-4656000000</v>
      </c>
    </row>
    <row r="13" spans="1:2" x14ac:dyDescent="0.25">
      <c r="A13" t="s">
        <v>72</v>
      </c>
      <c r="B13" s="18">
        <f>B11+B12</f>
        <v>144707523893.25922</v>
      </c>
    </row>
    <row r="14" spans="1:2" x14ac:dyDescent="0.25">
      <c r="A14" s="19" t="s">
        <v>73</v>
      </c>
      <c r="B14" s="24">
        <f>B13/Assumptions!B31</f>
        <v>130.95703519751964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19306397862.58346</v>
      </c>
    </row>
    <row r="18" spans="1:2" x14ac:dyDescent="0.25">
      <c r="A18" t="s">
        <v>68</v>
      </c>
      <c r="B18" s="18">
        <f>B17*Assumptions!B13</f>
        <v>249158548531.47366</v>
      </c>
    </row>
    <row r="19" spans="1:2" x14ac:dyDescent="0.25">
      <c r="A19" t="s">
        <v>69</v>
      </c>
      <c r="B19" s="18">
        <f>B18/(1+Assumptions!B26)^(10-0.5*Assumptions!B32)</f>
        <v>96531671138.59698</v>
      </c>
    </row>
    <row r="20" spans="1:2" x14ac:dyDescent="0.25">
      <c r="A20" t="s">
        <v>70</v>
      </c>
      <c r="B20" s="18">
        <f>Forecast!B17+B19</f>
        <v>175972202972.1408</v>
      </c>
    </row>
    <row r="21" spans="1:2" x14ac:dyDescent="0.25">
      <c r="A21" t="s">
        <v>71</v>
      </c>
      <c r="B21" s="18">
        <f>-Assumptions!B30</f>
        <v>-4656000000</v>
      </c>
    </row>
    <row r="22" spans="1:2" x14ac:dyDescent="0.25">
      <c r="A22" t="s">
        <v>72</v>
      </c>
      <c r="B22" s="18">
        <f>B20+B21</f>
        <v>171316202972.1408</v>
      </c>
    </row>
    <row r="23" spans="1:2" x14ac:dyDescent="0.25">
      <c r="A23" s="19" t="s">
        <v>73</v>
      </c>
      <c r="B23" s="25">
        <f>B22/Assumptions!B31</f>
        <v>155.0372877575935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164.79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130.95703519751964</v>
      </c>
    </row>
    <row r="29" spans="1:2" x14ac:dyDescent="0.25">
      <c r="A29" s="19" t="s">
        <v>81</v>
      </c>
      <c r="B29" s="11">
        <f>B28/B26-1</f>
        <v>-0.20530957462516142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0.084964</v>
      </c>
      <c r="B5" s="31">
        <v>163.70339715309794</v>
      </c>
      <c r="C5" s="31">
        <v>168.4616894975146</v>
      </c>
      <c r="D5" s="31">
        <v>174.10750079726387</v>
      </c>
      <c r="E5" s="31">
        <v>180.88304021343262</v>
      </c>
      <c r="F5" s="31">
        <v>189.12747037804192</v>
      </c>
    </row>
    <row r="6" spans="1:6" x14ac:dyDescent="0.25">
      <c r="A6" s="30">
        <v>0.094964</v>
      </c>
      <c r="B6" s="31">
        <v>142.9440329851172</v>
      </c>
      <c r="C6" s="31">
        <v>145.94562379122877</v>
      </c>
      <c r="D6" s="31">
        <v>149.45250842911574</v>
      </c>
      <c r="E6" s="31">
        <v>153.58135778537124</v>
      </c>
      <c r="F6" s="31">
        <v>158.48775639030558</v>
      </c>
    </row>
    <row r="7" spans="1:6" x14ac:dyDescent="0.25">
      <c r="A7" s="30">
        <v>0.104964</v>
      </c>
      <c r="B7" s="31">
        <v>126.81870031787741</v>
      </c>
      <c r="C7" s="31">
        <v>128.73608535642583</v>
      </c>
      <c r="D7" s="32">
        <v>130.95649056473823</v>
      </c>
      <c r="E7" s="31">
        <v>133.54054908067363</v>
      </c>
      <c r="F7" s="31">
        <v>136.5662267097083</v>
      </c>
    </row>
    <row r="8" spans="1:6" x14ac:dyDescent="0.25">
      <c r="A8" s="30">
        <v>0.114964</v>
      </c>
      <c r="B8" s="31">
        <v>113.93522532829087</v>
      </c>
      <c r="C8" s="31">
        <v>115.15605348505727</v>
      </c>
      <c r="D8" s="31">
        <v>116.56589182151995</v>
      </c>
      <c r="E8" s="31">
        <v>118.1981092079704</v>
      </c>
      <c r="F8" s="31">
        <v>120.09442048796099</v>
      </c>
    </row>
    <row r="9" spans="1:6" x14ac:dyDescent="0.25">
      <c r="A9" s="30">
        <v>0.124964</v>
      </c>
      <c r="B9" s="31">
        <v>103.40796760905172</v>
      </c>
      <c r="C9" s="31">
        <v>104.16765099210683</v>
      </c>
      <c r="D9" s="31">
        <v>105.0488659661107</v>
      </c>
      <c r="E9" s="31">
        <v>106.07080900408715</v>
      </c>
      <c r="F9" s="31">
        <v>107.25694416899013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44284000000</v>
      </c>
      <c r="C5" s="18">
        <v>38962000000</v>
      </c>
      <c r="D5" s="18">
        <v>35820000000</v>
      </c>
      <c r="E5" s="18">
        <v>44200000000</v>
      </c>
      <c r="F5" s="6" t="s">
        <v>91</v>
      </c>
    </row>
    <row r="6" spans="1:6" x14ac:dyDescent="0.25">
      <c r="A6" t="s">
        <v>51</v>
      </c>
      <c r="B6" s="18">
        <v>12394000000</v>
      </c>
      <c r="C6" s="18">
        <v>10253000000</v>
      </c>
      <c r="D6" s="18">
        <v>8650000000</v>
      </c>
      <c r="E6" s="18">
        <v>15860000000</v>
      </c>
      <c r="F6" s="6" t="s">
        <v>92</v>
      </c>
    </row>
    <row r="7" spans="1:6" x14ac:dyDescent="0.25">
      <c r="A7" t="s">
        <v>93</v>
      </c>
      <c r="B7" s="18">
        <v>1602000000</v>
      </c>
      <c r="C7" s="18">
        <v>1706000000</v>
      </c>
      <c r="D7" s="18">
        <v>1809000000</v>
      </c>
      <c r="E7" s="18">
        <v>1762000000</v>
      </c>
      <c r="F7" s="6" t="s">
        <v>94</v>
      </c>
    </row>
    <row r="8" spans="1:6" x14ac:dyDescent="0.25">
      <c r="A8" t="s">
        <v>95</v>
      </c>
      <c r="B8" s="18">
        <v>1192000000</v>
      </c>
      <c r="C8" s="18">
        <v>1041000000</v>
      </c>
      <c r="D8" s="18">
        <v>1450000000</v>
      </c>
      <c r="E8" s="18">
        <v>2262000000</v>
      </c>
      <c r="F8" s="6" t="s">
        <v>96</v>
      </c>
    </row>
    <row r="9" spans="1:6" x14ac:dyDescent="0.25">
      <c r="A9" t="s">
        <v>97</v>
      </c>
      <c r="B9" s="18">
        <v>-414000000</v>
      </c>
      <c r="C9" s="18">
        <v>-1223000000</v>
      </c>
      <c r="D9" s="18">
        <v>-1148000000</v>
      </c>
      <c r="E9" s="18">
        <v>7800000000</v>
      </c>
      <c r="F9" s="6" t="s">
        <v>98</v>
      </c>
    </row>
    <row r="10" spans="1:6" x14ac:dyDescent="0.25">
      <c r="A10" t="s">
        <v>99</v>
      </c>
      <c r="B10" s="18">
        <v>14811000000</v>
      </c>
      <c r="C10" s="18">
        <v>14634000000</v>
      </c>
      <c r="D10" s="18">
        <v>15398000000</v>
      </c>
      <c r="E10" s="18">
        <v>15482000000</v>
      </c>
      <c r="F10" s="6" t="s">
        <v>100</v>
      </c>
    </row>
    <row r="11" spans="1:6" x14ac:dyDescent="0.25">
      <c r="A11" t="s">
        <v>101</v>
      </c>
      <c r="B11" s="18">
        <v>10155000000</v>
      </c>
      <c r="C11" s="18">
        <v>13300000000</v>
      </c>
      <c r="D11" s="18">
        <v>11324000000</v>
      </c>
      <c r="E11" s="18">
        <v>6382000000</v>
      </c>
      <c r="F11" s="6" t="s">
        <v>102</v>
      </c>
    </row>
    <row r="12" spans="1:6" x14ac:dyDescent="0.25">
      <c r="A12" t="s">
        <v>34</v>
      </c>
      <c r="B12" s="34">
        <v>1105000000</v>
      </c>
      <c r="C12" s="34">
        <v>1130000000</v>
      </c>
      <c r="D12" s="34">
        <v>1126000000</v>
      </c>
      <c r="E12" s="34">
        <v>1137000000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