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<sst xmlns="http://schemas.openxmlformats.org/spreadsheetml/2006/main" count="113" uniqueCount="101">
  <si>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Qiagen N.V. (QIA.DE)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</si>
  <si>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</si>
  <si>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</si>
  <si>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</si>
  <si>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</si>
  <si>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</si>
  <si>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</si>
  <si>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</si>
  <si>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</si>
  <si>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</si>
  <si>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</si>
  <si>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</si>
  <si>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</si>
  <si>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</si>
  <si>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</si>
  <si>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</si>
  <si>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</si>
  <si>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</si>
  <si>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</si>
  <si>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</si>
  <si>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</si>
  <si>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</si>
  <si>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</si>
  <si>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</si>
  <si>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</si>
  <si>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</si>
  <si>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</si>
  <si>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</si>
  <si>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</si>
  <si>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</si>
  <si>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</si>
  <si>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</si>
  <si>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</si>
  <si>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</si>
  <si>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</si>
  <si>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</si>
  <si>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</si>
  <si>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</si>
  <si>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</si>
  <si>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</si>
  <si>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</si>
  <si>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</si>
  <si>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</si>
  <si>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</si>
  <si>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</si>
  <si>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</si>
  <si>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</si>
  <si>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</si>
  <si>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</si>
  <si>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</si>
  <si>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</si>
  <si>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</si>
  <si>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</si>
  <si>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</si>
  <si>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</si>
  <si>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</si>
  <si>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</si>
  <si>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</si>
  <si>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</si>
  <si>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</si>
  <si>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</si>
  <si>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</si>
  <si>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</si>
  <si>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</si>
  <si>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</si>
  <si>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</si>
  <si>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</si>
  <si>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</si>
  <si>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</si>
  <si>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</si>
  <si>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USD to EUR</t>
  </si>
  <si>
    <t>USD/EUR at 0.8704</t>
  </si>
  <si>
    <t>Value per share (EUR)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</si>
  <si>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</si>
  <si>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</si>
  <si>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</si>
  <si>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</si>
  <si>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</si>
  <si>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</si>
  <si>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</si>
  <si>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</si>
  <si>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</si>
  <si>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</si>
  <si>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</si>
  <si>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</si>
  <si>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</si>
  <si>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</si>
  <si>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</si>
  <si>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</si>
  <si>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</si>
  <si>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</si>
  <si>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</si>
  <si>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</si>
  <si>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</si>
  <si>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</si>
  <si>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</si>
  <si>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</si>
  <si>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</si>
  <si>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EUR. Modelled in USD, converted at the end.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</si>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</sst>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-0.008084257153451513</v>
      </c>
    </row>
    <row r="7" spans="1:2" x14ac:dyDescent="0.25">
      <c r="A7" t="s">
        <v>5</v>
      </c>
      <c r="B7" s="6">
        <v>0.21140750343764325</v>
      </c>
    </row>
    <row r="8" spans="1:2" x14ac:dyDescent="0.25">
      <c r="A8" t="s">
        <v>6</v>
      </c>
      <c r="B8" s="6">
        <v>0.19015225952535605</v>
      </c>
    </row>
    <row r="9" spans="1:2" x14ac:dyDescent="0.25">
      <c r="A9" t="s">
        <v>7</v>
      </c>
      <c r="B9" s="6">
        <v>0.0993119186866804</v>
      </c>
    </row>
    <row r="10" spans="1:2" x14ac:dyDescent="0.25">
      <c r="A10" t="s">
        <v>8</v>
      </c>
      <c r="B10" s="6">
        <v>0.08455970745929776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12.106791915480018</v>
      </c>
    </row>
    <row r="14" spans="1:3" x14ac:dyDescent="0.25">
      <c r="A14" t="s">
        <v>12</v>
      </c>
      <c r="B14" s="6">
        <v>0.07268679086638508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0.74942</v>
      </c>
      <c r="C19" s="8" t="s">
        <v>19</v>
      </c>
    </row>
    <row r="20" spans="1:2" x14ac:dyDescent="0.25">
      <c r="A20" t="s">
        <v>20</v>
      </c>
      <c r="B20" s="10">
        <f>B17+B19*B18</f>
        <v>0.07096519999999999</v>
      </c>
    </row>
    <row r="21" spans="1:3" x14ac:dyDescent="0.25">
      <c r="A21" t="s">
        <v>21</v>
      </c>
      <c r="B21" s="6">
        <v>0.026</v>
      </c>
      <c r="C21" s="8" t="s">
        <v>22</v>
      </c>
    </row>
    <row r="22" spans="1:2" x14ac:dyDescent="0.25">
      <c r="A22" t="s">
        <v>23</v>
      </c>
      <c r="B22" s="11">
        <v>7931473408</v>
      </c>
    </row>
    <row r="23" spans="1:2" x14ac:dyDescent="0.25">
      <c r="A23" t="s">
        <v>24</v>
      </c>
      <c r="B23" s="11">
        <v>1812372000</v>
      </c>
    </row>
    <row r="24" spans="1:2" x14ac:dyDescent="0.25">
      <c r="A24" t="s">
        <v>25</v>
      </c>
      <c r="B24" s="10">
        <f>B22/(B22+B23)</f>
        <v>0.8139982805441488</v>
      </c>
    </row>
    <row r="25" spans="1:2" x14ac:dyDescent="0.25">
      <c r="A25" t="s">
        <v>26</v>
      </c>
      <c r="B25" s="10">
        <f>1-B24</f>
        <v>0.1860017194558512</v>
      </c>
    </row>
    <row r="26" spans="1:2" x14ac:dyDescent="0.25">
      <c r="A26" t="s">
        <v>27</v>
      </c>
      <c r="B26" s="12">
        <f>B24*B20+B25*B21*(1-B8)</f>
        <v>0.06168201065634033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2089999000</v>
      </c>
      <c r="C29" s="8" t="s">
        <v>30</v>
      </c>
    </row>
    <row r="30" spans="1:2" x14ac:dyDescent="0.25">
      <c r="A30" t="s">
        <v>31</v>
      </c>
      <c r="B30" s="11">
        <v>713454000</v>
      </c>
    </row>
    <row r="31" spans="1:2" x14ac:dyDescent="0.25">
      <c r="A31" t="s">
        <v>32</v>
      </c>
      <c r="B31" s="13">
        <v>207936000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-0.008084257153451513</v>
      </c>
      <c r="C5" s="10">
        <f>Assumptions!B6</f>
        <v>-0.008084257153451513</v>
      </c>
      <c r="D5" s="10">
        <f>Assumptions!B6</f>
        <v>-0.008084257153451513</v>
      </c>
      <c r="E5" s="10">
        <f>Assumptions!B6</f>
        <v>-0.008084257153451513</v>
      </c>
      <c r="F5" s="10">
        <f>Assumptions!B6</f>
        <v>-0.008084257153451513</v>
      </c>
    </row>
    <row r="6" spans="1:6" x14ac:dyDescent="0.25">
      <c r="A6" t="s">
        <v>43</v>
      </c>
      <c r="B6" s="18">
        <f>Assumptions!B29*(1+B5)</f>
        <v>2073102910.6335435</v>
      </c>
      <c r="C6" s="18">
        <f>B6*(1+C5)</f>
        <v>2056343413.5984132</v>
      </c>
      <c r="D6" s="18">
        <f>C6*(1+D5)</f>
        <v>2039719404.6470773</v>
      </c>
      <c r="E6" s="18">
        <f>D6*(1+E5)</f>
        <v>2023229788.4590254</v>
      </c>
      <c r="F6" s="18">
        <f>E6*(1+F5)</f>
        <v>2006873478.5685992</v>
      </c>
    </row>
    <row r="7" spans="1:6" x14ac:dyDescent="0.25">
      <c r="A7" t="s">
        <v>5</v>
      </c>
      <c r="B7" s="10">
        <f>Assumptions!B7</f>
        <v>0.21140750343764325</v>
      </c>
      <c r="C7" s="10">
        <f>Assumptions!B7</f>
        <v>0.21140750343764325</v>
      </c>
      <c r="D7" s="10">
        <f>Assumptions!B7</f>
        <v>0.21140750343764325</v>
      </c>
      <c r="E7" s="10">
        <f>Assumptions!B7</f>
        <v>0.21140750343764325</v>
      </c>
      <c r="F7" s="10">
        <f>Assumptions!B7</f>
        <v>0.21140750343764325</v>
      </c>
    </row>
    <row r="8" spans="1:6" x14ac:dyDescent="0.25">
      <c r="A8" t="s">
        <v>44</v>
      </c>
      <c r="B8" s="18">
        <f>B6*B7</f>
        <v>438269510.7063491</v>
      </c>
      <c r="C8" s="18">
        <f>C6*C7</f>
        <v>434726427.2792816</v>
      </c>
      <c r="D8" s="18">
        <f>D6*D7</f>
        <v>431211987.0497546</v>
      </c>
      <c r="E8" s="18">
        <f>E6*E7</f>
        <v>427725958.45879364</v>
      </c>
      <c r="F8" s="18">
        <f>F6*F7</f>
        <v>424268111.8194062</v>
      </c>
    </row>
    <row r="9" spans="1:6" x14ac:dyDescent="0.25">
      <c r="A9" t="s">
        <v>45</v>
      </c>
      <c r="B9" s="18">
        <f>B8*(1-Assumptions!B8)</f>
        <v>354931572.96446455</v>
      </c>
      <c r="C9" s="18">
        <f>C8*(1-Assumptions!B8)</f>
        <v>352062214.85674083</v>
      </c>
      <c r="D9" s="18">
        <f>D8*(1-Assumptions!B8)</f>
        <v>349216053.3778252</v>
      </c>
      <c r="E9" s="18">
        <f>E8*(1-Assumptions!B8)</f>
        <v>346392901.00020546</v>
      </c>
      <c r="F9" s="18">
        <f>F8*(1-Assumptions!B8)</f>
        <v>343592571.7123897</v>
      </c>
    </row>
    <row r="10" spans="1:6" x14ac:dyDescent="0.25">
      <c r="A10" t="s">
        <v>46</v>
      </c>
      <c r="B10" s="18">
        <f>B6*Assumptions!B9</f>
        <v>205883827.68995896</v>
      </c>
      <c r="C10" s="18">
        <f>C6*Assumptions!B9</f>
        <v>204219409.88317642</v>
      </c>
      <c r="D10" s="18">
        <f>D6*Assumptions!B9</f>
        <v>202568447.65795472</v>
      </c>
      <c r="E10" s="18">
        <f>E6*Assumptions!B9</f>
        <v>200930832.23591232</v>
      </c>
      <c r="F10" s="18">
        <f>F6*Assumptions!B9</f>
        <v>199306455.71806017</v>
      </c>
    </row>
    <row r="11" spans="1:6" x14ac:dyDescent="0.25">
      <c r="A11" t="s">
        <v>47</v>
      </c>
      <c r="B11" s="18">
        <f>-B6*Assumptions!B10</f>
        <v>-175300975.65619114</v>
      </c>
      <c r="C11" s="18">
        <f>-C6*Assumptions!B10</f>
        <v>-173883797.48973557</v>
      </c>
      <c r="D11" s="18">
        <f>-D6*Assumptions!B10</f>
        <v>-172478076.15600985</v>
      </c>
      <c r="E11" s="18">
        <f>-E6*Assumptions!B10</f>
        <v>-171083719.0350321</v>
      </c>
      <c r="F11" s="18">
        <f>-F6*Assumptions!B10</f>
        <v>-169700634.25558403</v>
      </c>
    </row>
    <row r="12" spans="1:6" x14ac:dyDescent="0.25">
      <c r="A12" t="s">
        <v>48</v>
      </c>
      <c r="B12" s="18">
        <f>-(B6-Assumptions!B29)*Assumptions!B11</f>
        <v>-16896089.36645651</v>
      </c>
      <c r="C12" s="18">
        <f>-(C6-B6)*Assumptions!B11</f>
        <v>-16759497.035130262</v>
      </c>
      <c r="D12" s="18">
        <f>-(D6-C6)*Assumptions!B11</f>
        <v>-16624008.951335907</v>
      </c>
      <c r="E12" s="18">
        <f>-(E6-D6)*Assumptions!B11</f>
        <v>-16489616.188051939</v>
      </c>
      <c r="F12" s="18">
        <f>-(F6-E6)*Assumptions!B11</f>
        <v>-16356309.890426159</v>
      </c>
    </row>
    <row r="13" spans="1:6" x14ac:dyDescent="0.25">
      <c r="A13" s="19" t="s">
        <v>49</v>
      </c>
      <c r="B13" s="20">
        <f>B9+B10+B11+B12</f>
        <v>368618335.63177586</v>
      </c>
      <c r="C13" s="20">
        <f>C9+C10+C11+C12</f>
        <v>365638330.2150514</v>
      </c>
      <c r="D13" s="20">
        <f>D9+D10+D11+D12</f>
        <v>362682415.9284342</v>
      </c>
      <c r="E13" s="20">
        <f>E9+E10+E11+E12</f>
        <v>359750398.0130338</v>
      </c>
      <c r="F13" s="20">
        <f>F9+F10+F11+F12</f>
        <v>356842083.2844397</v>
      </c>
    </row>
    <row r="14" spans="1:6" x14ac:dyDescent="0.25">
      <c r="A14" t="s">
        <v>50</v>
      </c>
      <c r="B14" s="21">
        <f>1/(1+Assumptions!$B$26)^(1-0.5*Assumptions!$B$32)</f>
        <v>0.970516158841625</v>
      </c>
      <c r="C14" s="21">
        <f>1/(1+Assumptions!$B$26)^(2-0.5*Assumptions!$B$32)</f>
        <v>0.914130736981824</v>
      </c>
      <c r="D14" s="21">
        <f>1/(1+Assumptions!$B$26)^(3-0.5*Assumptions!$B$32)</f>
        <v>0.8610212170937145</v>
      </c>
      <c r="E14" s="21">
        <f>1/(1+Assumptions!$B$26)^(4-0.5*Assumptions!$B$32)</f>
        <v>0.8109972745619229</v>
      </c>
      <c r="F14" s="21">
        <f>1/(1+Assumptions!$B$26)^(5-0.5*Assumptions!$B$32)</f>
        <v>0.7638796423239366</v>
      </c>
    </row>
    <row r="15" spans="1:6" x14ac:dyDescent="0.25">
      <c r="A15" s="19" t="s">
        <v>51</v>
      </c>
      <c r="B15" s="20">
        <f>B13*B14</f>
        <v>357750051.17594403</v>
      </c>
      <c r="C15" s="20">
        <f>C13*C14</f>
        <v>334241236.2682885</v>
      </c>
      <c r="D15" s="20">
        <f>D13*D14</f>
        <v>312277255.1811892</v>
      </c>
      <c r="E15" s="20">
        <f>E13*E14</f>
        <v>291756592.31113744</v>
      </c>
      <c r="F15" s="20">
        <f>F13*F14</f>
        <v>272584402.9454462</v>
      </c>
    </row>
    <row r="17" spans="1:2" x14ac:dyDescent="0.25">
      <c r="A17" s="22" t="s">
        <v>52</v>
      </c>
      <c r="B17" s="23">
        <f>SUM(B15:F15)</f>
        <v>1568609537.8820055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356842083.2844397</v>
      </c>
    </row>
    <row r="5" spans="1:2" x14ac:dyDescent="0.25">
      <c r="A5" t="s">
        <v>56</v>
      </c>
      <c r="B5" s="18">
        <f>IF(Assumptions!$B$33=0,B4,B4-Forecast!F11-Forecast!F10-Forecast!F12)</f>
        <v>343592571.7123897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0.34394144660968334</v>
      </c>
    </row>
    <row r="7" spans="1:2" x14ac:dyDescent="0.25">
      <c r="A7" t="s">
        <v>58</v>
      </c>
      <c r="B7" s="18">
        <f>-MAX(Forecast!F9,0)*B6</f>
        <v>-118175726.15910068</v>
      </c>
    </row>
    <row r="8" spans="1:2" x14ac:dyDescent="0.25">
      <c r="A8" t="s">
        <v>59</v>
      </c>
      <c r="B8" s="18">
        <f>IF(OR(Assumptions!$B$33=0,Assumptions!B12&lt;=0),B5,MAX(B5+B7,0))</f>
        <v>225416845.55328903</v>
      </c>
    </row>
    <row r="9" spans="1:2" x14ac:dyDescent="0.25">
      <c r="A9" t="s">
        <v>60</v>
      </c>
      <c r="B9" s="18">
        <f>B8*(1+Assumptions!B12)/(Assumptions!B26-Assumptions!B12)</f>
        <v>6298789585.35728</v>
      </c>
    </row>
    <row r="10" spans="1:2" x14ac:dyDescent="0.25">
      <c r="A10" t="s">
        <v>61</v>
      </c>
      <c r="B10" s="18">
        <f>B9/(1+Assumptions!B26)^(5-0.5*Assumptions!B32)</f>
        <v>4811517135.536455</v>
      </c>
    </row>
    <row r="11" spans="1:2" x14ac:dyDescent="0.25">
      <c r="A11" t="s">
        <v>62</v>
      </c>
      <c r="B11" s="18">
        <f>Forecast!B17+B10</f>
        <v>6380126673.418461</v>
      </c>
    </row>
    <row r="12" spans="1:2" x14ac:dyDescent="0.25">
      <c r="A12" t="s">
        <v>63</v>
      </c>
      <c r="B12" s="18">
        <f>-Assumptions!B30</f>
        <v>-713454000</v>
      </c>
    </row>
    <row r="13" spans="1:2" x14ac:dyDescent="0.25">
      <c r="A13" t="s">
        <v>64</v>
      </c>
      <c r="B13" s="18">
        <f>B11+B12</f>
        <v>5666672673.418461</v>
      </c>
    </row>
    <row r="14" spans="1:2" x14ac:dyDescent="0.25">
      <c r="A14" s="19" t="s">
        <v>65</v>
      </c>
      <c r="B14" s="24">
        <f>B13/Assumptions!B31</f>
        <v>27.252003854159266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623574567.5374664</v>
      </c>
    </row>
    <row r="18" spans="1:2" x14ac:dyDescent="0.25">
      <c r="A18" t="s">
        <v>60</v>
      </c>
      <c r="B18" s="18">
        <f>B17*Assumptions!B13</f>
        <v>7549487532.961547</v>
      </c>
    </row>
    <row r="19" spans="1:2" x14ac:dyDescent="0.25">
      <c r="A19" t="s">
        <v>61</v>
      </c>
      <c r="B19" s="18">
        <f>B18/(1+Assumptions!B26)^(5-0.5*Assumptions!B32)</f>
        <v>5766899836.407684</v>
      </c>
    </row>
    <row r="20" spans="1:2" x14ac:dyDescent="0.25">
      <c r="A20" t="s">
        <v>62</v>
      </c>
      <c r="B20" s="18">
        <f>Forecast!B17+B19</f>
        <v>7335509374.28969</v>
      </c>
    </row>
    <row r="21" spans="1:2" x14ac:dyDescent="0.25">
      <c r="A21" t="s">
        <v>63</v>
      </c>
      <c r="B21" s="18">
        <f>-Assumptions!B30</f>
        <v>-713454000</v>
      </c>
    </row>
    <row r="22" spans="1:2" x14ac:dyDescent="0.25">
      <c r="A22" t="s">
        <v>64</v>
      </c>
      <c r="B22" s="18">
        <f>B20+B21</f>
        <v>6622055374.28969</v>
      </c>
    </row>
    <row r="23" spans="1:2" x14ac:dyDescent="0.25">
      <c r="A23" s="19" t="s">
        <v>65</v>
      </c>
      <c r="B23" s="25">
        <f>B22/Assumptions!B31</f>
        <v>31.84660363905091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38.41</v>
      </c>
    </row>
    <row r="27" spans="1:3" x14ac:dyDescent="0.25">
      <c r="A27" t="s">
        <v>70</v>
      </c>
      <c r="B27" s="27">
        <v>0.8704</v>
      </c>
      <c r="C27" s="8" t="s">
        <v>71</v>
      </c>
    </row>
    <row r="28" spans="1:2" x14ac:dyDescent="0.25">
      <c r="A28" t="s">
        <v>72</v>
      </c>
      <c r="B28" s="28">
        <f>B14*B27</f>
        <v>23.720144154660225</v>
      </c>
    </row>
    <row r="29" spans="1:2" x14ac:dyDescent="0.25">
      <c r="A29" s="19" t="s">
        <v>73</v>
      </c>
      <c r="B29" s="12">
        <f>B28/B26-1</f>
        <v>-0.38244873328143125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0.041682</v>
      </c>
      <c r="B5" s="31">
        <v>45.97444047046135</v>
      </c>
      <c r="C5" s="31">
        <v>51.34942256337423</v>
      </c>
      <c r="D5" s="31">
        <v>59.88973105963339</v>
      </c>
      <c r="E5" s="31">
        <v>75.65972959989918</v>
      </c>
      <c r="F5" s="31">
        <v>114.88889299113056</v>
      </c>
    </row>
    <row r="6" spans="1:6" x14ac:dyDescent="0.25">
      <c r="A6" s="30">
        <v>0.051682</v>
      </c>
      <c r="B6" s="31">
        <v>33.208615675890556</v>
      </c>
      <c r="C6" s="31">
        <v>35.02142876785784</v>
      </c>
      <c r="D6" s="31">
        <v>37.47969903483757</v>
      </c>
      <c r="E6" s="31">
        <v>41.029965431962424</v>
      </c>
      <c r="F6" s="31">
        <v>46.65412113464162</v>
      </c>
    </row>
    <row r="7" spans="1:6" x14ac:dyDescent="0.25">
      <c r="A7" s="30">
        <v>0.061682</v>
      </c>
      <c r="B7" s="31">
        <v>25.893524790695686</v>
      </c>
      <c r="C7" s="31">
        <v>26.501704436504014</v>
      </c>
      <c r="D7" s="32">
        <v>27.25201180046938</v>
      </c>
      <c r="E7" s="31">
        <v>28.21173795551512</v>
      </c>
      <c r="F7" s="31">
        <v>29.498613276658283</v>
      </c>
    </row>
    <row r="8" spans="1:6" x14ac:dyDescent="0.25">
      <c r="A8" s="30">
        <v>0.071682</v>
      </c>
      <c r="B8" s="31">
        <v>21.145119377810293</v>
      </c>
      <c r="C8" s="31">
        <v>21.25895705672453</v>
      </c>
      <c r="D8" s="31">
        <v>21.37934923551525</v>
      </c>
      <c r="E8" s="31">
        <v>21.508654666117295</v>
      </c>
      <c r="F8" s="31">
        <v>21.650518154625473</v>
      </c>
    </row>
    <row r="9" spans="1:6" x14ac:dyDescent="0.25">
      <c r="A9" s="30">
        <v>0.081682</v>
      </c>
      <c r="B9" s="31">
        <v>18.210795431089284</v>
      </c>
      <c r="C9" s="31">
        <v>18.28183650362514</v>
      </c>
      <c r="D9" s="31">
        <v>18.352877576160985</v>
      </c>
      <c r="E9" s="31">
        <v>18.42391864869684</v>
      </c>
      <c r="F9" s="31">
        <v>18.49495972123269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2089999000</v>
      </c>
      <c r="C5" s="18">
        <v>1978214000</v>
      </c>
      <c r="D5" s="18">
        <v>1965311000</v>
      </c>
      <c r="E5" s="18">
        <v>2141518000</v>
      </c>
      <c r="F5" s="8" t="s">
        <v>84</v>
      </c>
    </row>
    <row r="6" spans="1:6" x14ac:dyDescent="0.25">
      <c r="A6" t="s">
        <v>44</v>
      </c>
      <c r="B6" s="18">
        <v>520310000</v>
      </c>
      <c r="C6" s="18">
        <v>199899000</v>
      </c>
      <c r="D6" s="18">
        <v>445247000</v>
      </c>
      <c r="E6" s="18">
        <v>576228000</v>
      </c>
      <c r="F6" s="8" t="s">
        <v>85</v>
      </c>
    </row>
    <row r="7" spans="1:6" x14ac:dyDescent="0.25">
      <c r="A7" t="s">
        <v>86</v>
      </c>
      <c r="B7" s="18">
        <v>193746000</v>
      </c>
      <c r="C7" s="18">
        <v>203268000</v>
      </c>
      <c r="D7" s="18">
        <v>205336000</v>
      </c>
      <c r="E7" s="18">
        <v>208397000</v>
      </c>
      <c r="F7" s="8" t="s">
        <v>87</v>
      </c>
    </row>
    <row r="8" spans="1:6" x14ac:dyDescent="0.25">
      <c r="A8" t="s">
        <v>88</v>
      </c>
      <c r="B8" s="18">
        <v>207126000</v>
      </c>
      <c r="C8" s="18">
        <v>171242000</v>
      </c>
      <c r="D8" s="18">
        <v>162802000</v>
      </c>
      <c r="E8" s="18">
        <v>149336000</v>
      </c>
      <c r="F8" s="8" t="s">
        <v>89</v>
      </c>
    </row>
    <row r="9" spans="1:6" x14ac:dyDescent="0.25">
      <c r="A9" t="s">
        <v>90</v>
      </c>
      <c r="B9" s="18">
        <v>34513000</v>
      </c>
      <c r="C9" s="18">
        <v>-135453000</v>
      </c>
      <c r="D9" s="18">
        <v>186958000</v>
      </c>
      <c r="E9" s="18">
        <v>31881000</v>
      </c>
      <c r="F9" s="8" t="s">
        <v>91</v>
      </c>
    </row>
    <row r="10" spans="1:6" x14ac:dyDescent="0.25">
      <c r="A10" t="s">
        <v>92</v>
      </c>
      <c r="B10" s="18">
        <v>1812372000</v>
      </c>
      <c r="C10" s="18">
        <v>1512541000</v>
      </c>
      <c r="D10" s="18">
        <v>1532062000</v>
      </c>
      <c r="E10" s="18">
        <v>1883670000</v>
      </c>
      <c r="F10" s="8" t="s">
        <v>93</v>
      </c>
    </row>
    <row r="11" spans="1:6" x14ac:dyDescent="0.25">
      <c r="A11" t="s">
        <v>94</v>
      </c>
      <c r="B11" s="18">
        <v>1098918000</v>
      </c>
      <c r="C11" s="18">
        <v>1152992000</v>
      </c>
      <c r="D11" s="18">
        <v>1057782000</v>
      </c>
      <c r="E11" s="18">
        <v>1418266000</v>
      </c>
      <c r="F11" s="8" t="s">
        <v>95</v>
      </c>
    </row>
    <row r="12" spans="1:6" x14ac:dyDescent="0.25">
      <c r="A12" t="s">
        <v>32</v>
      </c>
      <c r="B12" s="34">
        <v>207936000</v>
      </c>
      <c r="C12" s="34">
        <v>207551118</v>
      </c>
      <c r="D12" s="34">
        <v>206612202</v>
      </c>
      <c r="E12" s="34">
        <v>206179481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2026-09-19T00:08:38Z</dcterms:modified>
</cp:coreProperties>
</file>