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<sst xmlns="http://schemas.openxmlformats.org/spreadsheetml/2006/main" count="114" uniqueCount="102">
  <si>
    <t>Ferrari N.V. (RACE.MI)</t>
  </si>
  <si>
    <t>DCF Studio - Base case</t>
  </si>
  <si>
    <t>Blue figures on a cream fill are inputs. Every other figure is a formula - change an input and the model reprices. Currency figures are EUR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</si>
  <si>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</si>
  <si>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</si>
  <si>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</si>
  <si>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</si>
  <si>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</si>
  <si>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</si>
  <si>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</si>
  <si>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</si>
  <si>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</si>
  <si>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</si>
  <si>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</si>
  <si>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</si>
  <si>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</si>
  <si>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</si>
  <si>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</si>
  <si>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</si>
  <si>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</si>
  <si>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</si>
  <si>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</si>
  <si>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</si>
  <si>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(EUR m)</t>
  </si>
  <si>
    <t>Total debt (EUR m)</t>
  </si>
  <si>
    <t>Equity weight</t>
  </si>
  <si>
    <t>Debt weight</t>
  </si>
  <si>
    <t>WACC</t>
  </si>
  <si>
    <t>Base year</t>
  </si>
  <si>
    <t>Revenue, last reported year (EUR m)</t>
  </si>
  <si>
    <t>Fiscal year ended 2025-12-31</t>
  </si>
  <si>
    <t>Net debt (EUR m)</t>
  </si>
  <si>
    <t>Diluted shares</t>
  </si>
  <si>
    <t>Mid-year discounting (1 = yes, 0 = no)</t>
  </si>
  <si>
    <t>Terminal year on a steady-state footing (1 = yes, 0 = no)</t>
  </si>
  <si>
    <t>Forecast cashflows (EUR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</si>
  <si>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</si>
  <si>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</si>
  <si>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</si>
  <si>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</si>
  <si>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</si>
  <si>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</si>
  <si>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</si>
  <si>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</si>
  <si>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</si>
  <si>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</si>
  <si>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</si>
  <si>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</si>
  <si>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</si>
  <si>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</si>
  <si>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</si>
  <si>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</si>
  <si>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</si>
  <si>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(EUR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</si>
  <si>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</si>
  <si>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</si>
  <si>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</si>
  <si>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</si>
  <si>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</si>
  <si>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</si>
  <si>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</si>
  <si>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</si>
  <si>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</si>
  <si>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</si>
  <si>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</si>
  <si>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</si>
  <si>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</si>
  <si>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</si>
  <si>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</si>
  <si>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(EUR)</t>
  </si>
  <si>
    <t>Conversion, EUR to EUR</t>
  </si>
  <si>
    <t>Same currency, no conversion</t>
  </si>
  <si>
    <t>Value per share (EUR)</t>
  </si>
  <si>
    <t>Implied upside</t>
  </si>
  <si>
    <t>Value per share (EUR)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</si>
  <si>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</si>
  <si>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(EUR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</si>
  <si>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</si>
  <si>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</si>
  <si>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</si>
  <si>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</si>
  <si>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</si>
  <si>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</si>
  <si>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</si>
  <si>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</si>
  <si>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</si>
  <si>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</si>
  <si>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</si>
  <si>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</si>
  <si>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</si>
  <si>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</si>
  <si>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</si>
  <si>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</si>
  <si>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</si>
  <si>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</si>
  <si>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</si>
  <si>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</si>
  <si>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</si>
  <si>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14.6% of revenue against depreciation of 10.3%. A perpetuity has to be a steady state, so the terminal year uses maintenance capex at depreciation and then charges the reinvestment terminal growth requires (g/ROIC of NOPAT). The bridge is shown under Terminal Value.</t>
  </si>
  <si>
    <t>Note: Risk-free rate is an assumption: USD assumption - no free live source available for this market.</t>
  </si>
  <si>
    <t>Current EV/EBITDA of 23.0x sits outside a defensible 3-20x band, so the exit multiple is capped at 20.0x. A multiple that far out usually means EBITDA is the wrong denominator for this business.</t>
  </si>
  <si>
    <t>Data: Yahoo Finance. Risk-free rate: USD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</si>
</sst>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0.11933742456699536</v>
      </c>
    </row>
    <row r="7" spans="1:2" x14ac:dyDescent="0.25">
      <c r="A7" t="s">
        <v>5</v>
      </c>
      <c r="B7" s="6">
        <v>0.2711352620613475</v>
      </c>
    </row>
    <row r="8" spans="1:2" x14ac:dyDescent="0.25">
      <c r="A8" t="s">
        <v>6</v>
      </c>
      <c r="B8" s="6">
        <v>0.20886109927003935</v>
      </c>
    </row>
    <row r="9" spans="1:2" x14ac:dyDescent="0.25">
      <c r="A9" t="s">
        <v>7</v>
      </c>
      <c r="B9" s="6">
        <v>0.10265975266674882</v>
      </c>
    </row>
    <row r="10" spans="1:2" x14ac:dyDescent="0.25">
      <c r="A10" t="s">
        <v>8</v>
      </c>
      <c r="B10" s="6">
        <v>0.14590013379725572</v>
      </c>
    </row>
    <row r="11" spans="1:2" x14ac:dyDescent="0.25">
      <c r="A11" t="s">
        <v>9</v>
      </c>
      <c r="B11" s="6">
        <v>0.40950540180959477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0.22661278093390558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0.042</v>
      </c>
      <c r="C17" s="8" t="s">
        <v>16</v>
      </c>
    </row>
    <row r="18" spans="1:2" x14ac:dyDescent="0.25">
      <c r="A18" t="s">
        <v>17</v>
      </c>
      <c r="B18" s="6">
        <v>0.065</v>
      </c>
    </row>
    <row r="19" spans="1:3" x14ac:dyDescent="0.25">
      <c r="A19" t="s">
        <v>18</v>
      </c>
      <c r="B19" s="9">
        <v>0.732</v>
      </c>
      <c r="C19" s="8" t="s">
        <v>19</v>
      </c>
    </row>
    <row r="20" spans="1:2" x14ac:dyDescent="0.25">
      <c r="A20" t="s">
        <v>20</v>
      </c>
      <c r="B20" s="10">
        <f>B17+B19*B18</f>
        <v>0.08957999999999999</v>
      </c>
    </row>
    <row r="21" spans="1:3" x14ac:dyDescent="0.25">
      <c r="A21" t="s">
        <v>21</v>
      </c>
      <c r="B21" s="6">
        <v>0.042</v>
      </c>
      <c r="C21" s="8" t="s">
        <v>22</v>
      </c>
    </row>
    <row r="22" spans="1:2" x14ac:dyDescent="0.25">
      <c r="A22" t="s">
        <v>23</v>
      </c>
      <c r="B22" s="11">
        <v>62121947136</v>
      </c>
    </row>
    <row r="23" spans="1:2" x14ac:dyDescent="0.25">
      <c r="A23" t="s">
        <v>24</v>
      </c>
      <c r="B23" s="11">
        <v>2884220000</v>
      </c>
    </row>
    <row r="24" spans="1:2" x14ac:dyDescent="0.25">
      <c r="A24" t="s">
        <v>25</v>
      </c>
      <c r="B24" s="10">
        <f>B22/(B22+B23)</f>
        <v>0.9556315942460367</v>
      </c>
    </row>
    <row r="25" spans="1:2" x14ac:dyDescent="0.25">
      <c r="A25" t="s">
        <v>26</v>
      </c>
      <c r="B25" s="10">
        <f>1-B24</f>
        <v>0.04436840575396328</v>
      </c>
    </row>
    <row r="26" spans="1:2" x14ac:dyDescent="0.25">
      <c r="A26" t="s">
        <v>27</v>
      </c>
      <c r="B26" s="12">
        <f>B24*B20+B25*B21*(1-B8)</f>
        <v>0.08707974422628388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7145768000</v>
      </c>
      <c r="C29" s="8" t="s">
        <v>30</v>
      </c>
    </row>
    <row r="30" spans="1:2" x14ac:dyDescent="0.25">
      <c r="A30" t="s">
        <v>31</v>
      </c>
      <c r="B30" s="11">
        <v>1412088000</v>
      </c>
    </row>
    <row r="31" spans="1:2" x14ac:dyDescent="0.25">
      <c r="A31" t="s">
        <v>32</v>
      </c>
      <c r="B31" s="13">
        <v>178321000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0.11933742456699536</v>
      </c>
      <c r="C5" s="10">
        <f>Assumptions!B6</f>
        <v>0.11933742456699536</v>
      </c>
      <c r="D5" s="10">
        <f>Assumptions!B6</f>
        <v>0.11933742456699536</v>
      </c>
      <c r="E5" s="10">
        <f>Assumptions!B6</f>
        <v>0.11933742456699536</v>
      </c>
      <c r="F5" s="10">
        <f>Assumptions!B6</f>
        <v>0.11933742456699536</v>
      </c>
    </row>
    <row r="6" spans="1:6" x14ac:dyDescent="0.25">
      <c r="A6" t="s">
        <v>43</v>
      </c>
      <c r="B6" s="18">
        <f>Assumptions!B29*(1+B5)</f>
        <v>7998525549.673249</v>
      </c>
      <c r="C6" s="18">
        <f>B6*(1+C5)</f>
        <v>8953048989.104567</v>
      </c>
      <c r="D6" s="18">
        <f>C6*(1+D5)</f>
        <v>10021482797.486446</v>
      </c>
      <c r="E6" s="18">
        <f>D6*(1+E5)</f>
        <v>11217420744.880926</v>
      </c>
      <c r="F6" s="18">
        <f>E6*(1+F5)</f>
        <v>12556078846.859402</v>
      </c>
    </row>
    <row r="7" spans="1:6" x14ac:dyDescent="0.25">
      <c r="A7" t="s">
        <v>5</v>
      </c>
      <c r="B7" s="10">
        <f>Assumptions!B7</f>
        <v>0.2711352620613475</v>
      </c>
      <c r="C7" s="10">
        <f>Assumptions!B7</f>
        <v>0.2711352620613475</v>
      </c>
      <c r="D7" s="10">
        <f>Assumptions!B7</f>
        <v>0.2711352620613475</v>
      </c>
      <c r="E7" s="10">
        <f>Assumptions!B7</f>
        <v>0.2711352620613475</v>
      </c>
      <c r="F7" s="10">
        <f>Assumptions!B7</f>
        <v>0.2711352620613475</v>
      </c>
    </row>
    <row r="8" spans="1:6" x14ac:dyDescent="0.25">
      <c r="A8" t="s">
        <v>44</v>
      </c>
      <c r="B8" s="18">
        <f>B6*B7</f>
        <v>2168682321.0150404</v>
      </c>
      <c r="C8" s="18">
        <f>C6*C7</f>
        <v>2427487283.9089494</v>
      </c>
      <c r="D8" s="18">
        <f>D6*D7</f>
        <v>2717177364.539774</v>
      </c>
      <c r="E8" s="18">
        <f>E6*E7</f>
        <v>3041438313.315686</v>
      </c>
      <c r="F8" s="18">
        <f>F6*F7</f>
        <v>3404395728.6061664</v>
      </c>
    </row>
    <row r="9" spans="1:6" x14ac:dyDescent="0.25">
      <c r="A9" t="s">
        <v>45</v>
      </c>
      <c r="B9" s="18">
        <f>B8*(1-Assumptions!B8)</f>
        <v>1715728947.4803386</v>
      </c>
      <c r="C9" s="18">
        <f>C8*(1-Assumptions!B8)</f>
        <v>1920479621.3276842</v>
      </c>
      <c r="D9" s="18">
        <f>D8*(1-Assumptions!B8)</f>
        <v>2149664713.270328</v>
      </c>
      <c r="E9" s="18">
        <f>E8*(1-Assumptions!B8)</f>
        <v>2406200163.8345575</v>
      </c>
      <c r="F9" s="18">
        <f>F8*(1-Assumptions!B8)</f>
        <v>2693349894.379256</v>
      </c>
    </row>
    <row r="10" spans="1:6" x14ac:dyDescent="0.25">
      <c r="A10" t="s">
        <v>46</v>
      </c>
      <c r="B10" s="18">
        <f>B6*Assumptions!B9</f>
        <v>821126654.6281269</v>
      </c>
      <c r="C10" s="18">
        <f>C6*Assumptions!B9</f>
        <v>919117794.8347603</v>
      </c>
      <c r="D10" s="18">
        <f>D6*Assumptions!B9</f>
        <v>1028802945.3440366</v>
      </c>
      <c r="E10" s="18">
        <f>E6*Assumptions!B9</f>
        <v>1151577639.2283332</v>
      </c>
      <c r="F10" s="18">
        <f>F6*Assumptions!B9</f>
        <v>1289003948.882783</v>
      </c>
    </row>
    <row r="11" spans="1:6" x14ac:dyDescent="0.25">
      <c r="A11" t="s">
        <v>47</v>
      </c>
      <c r="B11" s="18">
        <f>-B6*Assumptions!B10</f>
        <v>-1166985947.8780954</v>
      </c>
      <c r="C11" s="18">
        <f>-C6*Assumptions!B10</f>
        <v>-1306251045.4037414</v>
      </c>
      <c r="D11" s="18">
        <f>-D6*Assumptions!B10</f>
        <v>-1462135681.000169</v>
      </c>
      <c r="E11" s="18">
        <f>-E6*Assumptions!B10</f>
        <v>-1636623187.538239</v>
      </c>
      <c r="F11" s="18">
        <f>-F6*Assumptions!B10</f>
        <v>-1831933583.725679</v>
      </c>
    </row>
    <row r="12" spans="1:6" x14ac:dyDescent="0.25">
      <c r="A12" t="s">
        <v>48</v>
      </c>
      <c r="B12" s="18">
        <f>-(B6-Assumptions!B29)*Assumptions!B11</f>
        <v>-349208823.0251094</v>
      </c>
      <c r="C12" s="18">
        <f>-(C6-B6)*Assumptions!B11</f>
        <v>-390882504.600998</v>
      </c>
      <c r="D12" s="18">
        <f>-(D6-C6)*Assumptions!B11</f>
        <v>-437529416.00837725</v>
      </c>
      <c r="E12" s="18">
        <f>-(E6-D6)*Assumptions!B11</f>
        <v>-489743049.6871185</v>
      </c>
      <c r="F12" s="18">
        <f>-(F6-E6)*Assumptions!B11</f>
        <v>-548187723.9363651</v>
      </c>
    </row>
    <row r="13" spans="1:6" x14ac:dyDescent="0.25">
      <c r="A13" s="19" t="s">
        <v>49</v>
      </c>
      <c r="B13" s="20">
        <f>B9+B10+B11+B12</f>
        <v>1020660831.2052604</v>
      </c>
      <c r="C13" s="20">
        <f>C9+C10+C11+C12</f>
        <v>1142463866.1577053</v>
      </c>
      <c r="D13" s="20">
        <f>D9+D10+D11+D12</f>
        <v>1278802561.6058183</v>
      </c>
      <c r="E13" s="20">
        <f>E9+E10+E11+E12</f>
        <v>1431411565.8375335</v>
      </c>
      <c r="F13" s="20">
        <f>F9+F10+F11+F12</f>
        <v>1602232535.5999947</v>
      </c>
    </row>
    <row r="14" spans="1:6" x14ac:dyDescent="0.25">
      <c r="A14" t="s">
        <v>50</v>
      </c>
      <c r="B14" s="21">
        <f>1/(1+Assumptions!$B$26)^(1-0.5*Assumptions!$B$32)</f>
        <v>0.9591119414901274</v>
      </c>
      <c r="C14" s="21">
        <f>1/(1+Assumptions!$B$26)^(2-0.5*Assumptions!$B$32)</f>
        <v>0.8822829664375395</v>
      </c>
      <c r="D14" s="21">
        <f>1/(1+Assumptions!$B$26)^(3-0.5*Assumptions!$B$32)</f>
        <v>0.8116083213982557</v>
      </c>
      <c r="E14" s="21">
        <f>1/(1+Assumptions!$B$26)^(4-0.5*Assumptions!$B$32)</f>
        <v>0.7465950181749623</v>
      </c>
      <c r="F14" s="21">
        <f>1/(1+Assumptions!$B$26)^(5-0.5*Assumptions!$B$32)</f>
        <v>0.686789559036759</v>
      </c>
    </row>
    <row r="15" spans="1:6" x14ac:dyDescent="0.25">
      <c r="A15" s="19" t="s">
        <v>51</v>
      </c>
      <c r="B15" s="20">
        <f>B13*B14</f>
        <v>978927991.4202044</v>
      </c>
      <c r="C15" s="20">
        <f>C13*C14</f>
        <v>1007976408.8813202</v>
      </c>
      <c r="D15" s="20">
        <f>D13*D14</f>
        <v>1037886800.4246876</v>
      </c>
      <c r="E15" s="20">
        <f>E13*E14</f>
        <v>1068684744.0123246</v>
      </c>
      <c r="F15" s="20">
        <f>F13*F14</f>
        <v>1100396576.5990686</v>
      </c>
    </row>
    <row r="17" spans="1:2" x14ac:dyDescent="0.25">
      <c r="A17" s="22" t="s">
        <v>52</v>
      </c>
      <c r="B17" s="23">
        <f>SUM(B15:F15)</f>
        <v>5193872521.337605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1602232535.5999947</v>
      </c>
    </row>
    <row r="5" spans="1:2" x14ac:dyDescent="0.25">
      <c r="A5" t="s">
        <v>56</v>
      </c>
      <c r="B5" s="18">
        <f>IF(Assumptions!$B$33=0,B4,B4-Forecast!F11-Forecast!F10-Forecast!F12)</f>
        <v>3250494548.57869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0.11032034423200322</v>
      </c>
    </row>
    <row r="7" spans="1:2" x14ac:dyDescent="0.25">
      <c r="A7" t="s">
        <v>58</v>
      </c>
      <c r="B7" s="18">
        <f>-MAX(Forecast!F9,0)*B6</f>
        <v>-358595677.52345103</v>
      </c>
    </row>
    <row r="8" spans="1:2" x14ac:dyDescent="0.25">
      <c r="A8" t="s">
        <v>59</v>
      </c>
      <c r="B8" s="18">
        <f>IF(OR(Assumptions!$B$33=0,Assumptions!B12&lt;=0),B5,MAX(B5+B7,0))</f>
        <v>2891898871.055239</v>
      </c>
    </row>
    <row r="9" spans="1:2" x14ac:dyDescent="0.25">
      <c r="A9" t="s">
        <v>60</v>
      </c>
      <c r="B9" s="18">
        <f>B8*(1+Assumptions!B12)/(Assumptions!B26-Assumptions!B12)</f>
        <v>47748204825.5059</v>
      </c>
    </row>
    <row r="10" spans="1:2" x14ac:dyDescent="0.25">
      <c r="A10" t="s">
        <v>61</v>
      </c>
      <c r="B10" s="18">
        <f>B9/(1+Assumptions!B26)^(5-0.5*Assumptions!B32)</f>
        <v>32792968536.906044</v>
      </c>
    </row>
    <row r="11" spans="1:2" x14ac:dyDescent="0.25">
      <c r="A11" t="s">
        <v>62</v>
      </c>
      <c r="B11" s="18">
        <f>Forecast!B17+B10</f>
        <v>37986841058.24365</v>
      </c>
    </row>
    <row r="12" spans="1:2" x14ac:dyDescent="0.25">
      <c r="A12" t="s">
        <v>63</v>
      </c>
      <c r="B12" s="18">
        <f>-Assumptions!B30</f>
        <v>-1412088000</v>
      </c>
    </row>
    <row r="13" spans="1:2" x14ac:dyDescent="0.25">
      <c r="A13" t="s">
        <v>64</v>
      </c>
      <c r="B13" s="18">
        <f>B11+B12</f>
        <v>36574753058.24365</v>
      </c>
    </row>
    <row r="14" spans="1:2" x14ac:dyDescent="0.25">
      <c r="A14" s="19" t="s">
        <v>65</v>
      </c>
      <c r="B14" s="24">
        <f>B13/Assumptions!B31</f>
        <v>205.1062581425836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4693399677.488949</v>
      </c>
    </row>
    <row r="18" spans="1:2" x14ac:dyDescent="0.25">
      <c r="A18" t="s">
        <v>60</v>
      </c>
      <c r="B18" s="18">
        <f>B17*Assumptions!B13</f>
        <v>93867993549.77898</v>
      </c>
    </row>
    <row r="19" spans="1:2" x14ac:dyDescent="0.25">
      <c r="A19" t="s">
        <v>61</v>
      </c>
      <c r="B19" s="18">
        <f>B18/(1+Assumptions!B26)^(5-0.5*Assumptions!B32)</f>
        <v>64467557897.71804</v>
      </c>
    </row>
    <row r="20" spans="1:2" x14ac:dyDescent="0.25">
      <c r="A20" t="s">
        <v>62</v>
      </c>
      <c r="B20" s="18">
        <f>Forecast!B17+B19</f>
        <v>69661430419.05565</v>
      </c>
    </row>
    <row r="21" spans="1:2" x14ac:dyDescent="0.25">
      <c r="A21" t="s">
        <v>63</v>
      </c>
      <c r="B21" s="18">
        <f>-Assumptions!B30</f>
        <v>-1412088000</v>
      </c>
    </row>
    <row r="22" spans="1:2" x14ac:dyDescent="0.25">
      <c r="A22" t="s">
        <v>64</v>
      </c>
      <c r="B22" s="18">
        <f>B20+B21</f>
        <v>68249342419.05565</v>
      </c>
    </row>
    <row r="23" spans="1:2" x14ac:dyDescent="0.25">
      <c r="A23" s="19" t="s">
        <v>65</v>
      </c>
      <c r="B23" s="25">
        <f>B22/Assumptions!B31</f>
        <v>382.7330623934121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353.75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205.1062581425836</v>
      </c>
    </row>
    <row r="29" spans="1:2" x14ac:dyDescent="0.25">
      <c r="A29" s="19" t="s">
        <v>73</v>
      </c>
      <c r="B29" s="12">
        <f>B28/B26-1</f>
        <v>-0.42019432327184847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0.06708</v>
      </c>
      <c r="B5" s="31">
        <v>270.3280346085587</v>
      </c>
      <c r="C5" s="31">
        <v>291.4773475223484</v>
      </c>
      <c r="D5" s="31">
        <v>317.5812752808843</v>
      </c>
      <c r="E5" s="31">
        <v>350.6441119152127</v>
      </c>
      <c r="F5" s="31">
        <v>393.9197113261094</v>
      </c>
    </row>
    <row r="6" spans="1:6" x14ac:dyDescent="0.25">
      <c r="A6" s="30">
        <v>0.07708</v>
      </c>
      <c r="B6" s="31">
        <v>221.15925770498663</v>
      </c>
      <c r="C6" s="31">
        <v>234.5349706109246</v>
      </c>
      <c r="D6" s="31">
        <v>250.4236948727661</v>
      </c>
      <c r="E6" s="31">
        <v>269.62609256227336</v>
      </c>
      <c r="F6" s="31">
        <v>293.3233685609811</v>
      </c>
    </row>
    <row r="7" spans="1:6" x14ac:dyDescent="0.25">
      <c r="A7" s="30">
        <v>0.08708</v>
      </c>
      <c r="B7" s="31">
        <v>185.82632886870567</v>
      </c>
      <c r="C7" s="31">
        <v>194.7678911911729</v>
      </c>
      <c r="D7" s="32">
        <v>205.105288227508</v>
      </c>
      <c r="E7" s="31">
        <v>217.20533008121524</v>
      </c>
      <c r="F7" s="31">
        <v>231.57569095084642</v>
      </c>
    </row>
    <row r="8" spans="1:6" x14ac:dyDescent="0.25">
      <c r="A8" s="30">
        <v>0.09708</v>
      </c>
      <c r="B8" s="31">
        <v>159.26260588219407</v>
      </c>
      <c r="C8" s="31">
        <v>165.48154292529136</v>
      </c>
      <c r="D8" s="31">
        <v>172.52648819048642</v>
      </c>
      <c r="E8" s="31">
        <v>180.58214834640577</v>
      </c>
      <c r="F8" s="31">
        <v>189.892736076053</v>
      </c>
    </row>
    <row r="9" spans="1:6" x14ac:dyDescent="0.25">
      <c r="A9" s="30">
        <v>0.10708</v>
      </c>
      <c r="B9" s="31">
        <v>138.60298702141114</v>
      </c>
      <c r="C9" s="31">
        <v>143.05706498570012</v>
      </c>
      <c r="D9" s="31">
        <v>148.02279177606073</v>
      </c>
      <c r="E9" s="31">
        <v>153.59973579403785</v>
      </c>
      <c r="F9" s="31">
        <v>159.9150926336138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7145768000</v>
      </c>
      <c r="C5" s="18">
        <v>6676668000</v>
      </c>
      <c r="D5" s="18">
        <v>5970146000</v>
      </c>
      <c r="E5" s="18">
        <v>5095254000</v>
      </c>
      <c r="F5" s="8" t="s">
        <v>84</v>
      </c>
    </row>
    <row r="6" spans="1:6" x14ac:dyDescent="0.25">
      <c r="A6" t="s">
        <v>44</v>
      </c>
      <c r="B6" s="18">
        <v>2097144000</v>
      </c>
      <c r="C6" s="18">
        <v>1879506000</v>
      </c>
      <c r="D6" s="18">
        <v>1611232000</v>
      </c>
      <c r="E6" s="18">
        <v>1221207000</v>
      </c>
      <c r="F6" s="8" t="s">
        <v>85</v>
      </c>
    </row>
    <row r="7" spans="1:6" x14ac:dyDescent="0.25">
      <c r="A7" t="s">
        <v>86</v>
      </c>
      <c r="B7" s="18">
        <v>661937000</v>
      </c>
      <c r="C7" s="18">
        <v>666777000</v>
      </c>
      <c r="D7" s="18">
        <v>662305000</v>
      </c>
      <c r="E7" s="18">
        <v>546225000</v>
      </c>
      <c r="F7" s="8" t="s">
        <v>87</v>
      </c>
    </row>
    <row r="8" spans="1:6" x14ac:dyDescent="0.25">
      <c r="A8" t="s">
        <v>88</v>
      </c>
      <c r="B8" s="18">
        <v>943186000</v>
      </c>
      <c r="C8" s="18">
        <v>989151000</v>
      </c>
      <c r="D8" s="18">
        <v>868910000</v>
      </c>
      <c r="E8" s="18">
        <v>804619000</v>
      </c>
      <c r="F8" s="8" t="s">
        <v>89</v>
      </c>
    </row>
    <row r="9" spans="1:6" x14ac:dyDescent="0.25">
      <c r="A9" t="s">
        <v>90</v>
      </c>
      <c r="B9" s="18">
        <v>88634000</v>
      </c>
      <c r="C9" s="18">
        <v>382615000</v>
      </c>
      <c r="D9" s="18">
        <v>358273000</v>
      </c>
      <c r="E9" s="18">
        <v>146191000</v>
      </c>
      <c r="F9" s="8" t="s">
        <v>91</v>
      </c>
    </row>
    <row r="10" spans="1:6" x14ac:dyDescent="0.25">
      <c r="A10" t="s">
        <v>92</v>
      </c>
      <c r="B10" s="18">
        <v>2884220000</v>
      </c>
      <c r="C10" s="18">
        <v>3351888000</v>
      </c>
      <c r="D10" s="18">
        <v>2477186000</v>
      </c>
      <c r="E10" s="18">
        <v>2811779000</v>
      </c>
      <c r="F10" s="8" t="s">
        <v>93</v>
      </c>
    </row>
    <row r="11" spans="1:6" x14ac:dyDescent="0.25">
      <c r="A11" t="s">
        <v>94</v>
      </c>
      <c r="B11" s="18">
        <v>1472132000</v>
      </c>
      <c r="C11" s="18">
        <v>1747870000</v>
      </c>
      <c r="D11" s="18">
        <v>1127549000</v>
      </c>
      <c r="E11" s="18">
        <v>1395969000</v>
      </c>
      <c r="F11" s="8" t="s">
        <v>95</v>
      </c>
    </row>
    <row r="12" spans="1:6" x14ac:dyDescent="0.25">
      <c r="A12" t="s">
        <v>32</v>
      </c>
      <c r="B12" s="34">
        <v>178321000</v>
      </c>
      <c r="C12" s="34">
        <v>179992000</v>
      </c>
      <c r="D12" s="34">
        <v>181511000</v>
      </c>
      <c r="E12" s="34">
        <v>183121000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8" ht="38" customHeight="1" spans="1:6" x14ac:dyDescent="0.25">
      <c r="A18" s="35" t="s">
        <v>100</v>
      </c>
      <c r="B18" s="35"/>
      <c r="C18" s="35"/>
      <c r="D18" s="35"/>
      <c r="E18" s="35"/>
      <c r="F18" s="35"/>
    </row>
    <row r="20" spans="1:1" x14ac:dyDescent="0.25">
      <c r="A20" s="36" t="s">
        <v>101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2026-09-19T00:06:57Z</dcterms:modified>
</cp:coreProperties>
</file>