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<sst xmlns="http://schemas.openxmlformats.org/spreadsheetml/2006/main" count="113" uniqueCount="101">
  <si>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Randstad N.V. (RAND.AS)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</si>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</sst>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-0.05755062668754796</v>
      </c>
    </row>
    <row r="7" spans="1:2" x14ac:dyDescent="0.25">
      <c r="A7" t="s">
        <v>5</v>
      </c>
      <c r="B7" s="6">
        <v>0.03017596987090624</v>
      </c>
    </row>
    <row r="8" spans="1:2" x14ac:dyDescent="0.25">
      <c r="A8" t="s">
        <v>6</v>
      </c>
      <c r="B8" s="6">
        <v>0.24528559218781257</v>
      </c>
    </row>
    <row r="9" spans="1:2" x14ac:dyDescent="0.25">
      <c r="A9" t="s">
        <v>7</v>
      </c>
      <c r="B9" s="6">
        <v>0.01280015951368849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0.05228758169934641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9.044583853211009</v>
      </c>
    </row>
    <row r="14" spans="1:3" x14ac:dyDescent="0.25">
      <c r="A14" t="s">
        <v>12</v>
      </c>
      <c r="B14" s="6">
        <v>0.10210915826874944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0.98727</v>
      </c>
      <c r="C19" s="8" t="s">
        <v>19</v>
      </c>
    </row>
    <row r="20" spans="1:2" x14ac:dyDescent="0.25">
      <c r="A20" t="s">
        <v>20</v>
      </c>
      <c r="B20" s="10">
        <f>B17+B19*B18</f>
        <v>0.10617255</v>
      </c>
    </row>
    <row r="21" spans="1:3" x14ac:dyDescent="0.25">
      <c r="A21" t="s">
        <v>21</v>
      </c>
      <c r="B21" s="6">
        <v>0.046027131782945735</v>
      </c>
      <c r="C21" s="8" t="s">
        <v>22</v>
      </c>
    </row>
    <row r="22" spans="1:2" x14ac:dyDescent="0.25">
      <c r="A22" t="s">
        <v>23</v>
      </c>
      <c r="B22" s="11">
        <v>6375877120</v>
      </c>
    </row>
    <row r="23" spans="1:2" x14ac:dyDescent="0.25">
      <c r="A23" t="s">
        <v>24</v>
      </c>
      <c r="B23" s="11">
        <v>1910000000</v>
      </c>
    </row>
    <row r="24" spans="1:2" x14ac:dyDescent="0.25">
      <c r="A24" t="s">
        <v>25</v>
      </c>
      <c r="B24" s="10">
        <f>B22/(B22+B23)</f>
        <v>0.7694872887518757</v>
      </c>
    </row>
    <row r="25" spans="1:2" x14ac:dyDescent="0.25">
      <c r="A25" t="s">
        <v>26</v>
      </c>
      <c r="B25" s="10">
        <f>1-B24</f>
        <v>0.23051271124812434</v>
      </c>
    </row>
    <row r="26" spans="1:2" x14ac:dyDescent="0.25">
      <c r="A26" t="s">
        <v>27</v>
      </c>
      <c r="B26" s="12">
        <f>B24*B20+B25*B21*(1-B8)</f>
        <v>0.0897058259506457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23077000000</v>
      </c>
      <c r="C29" s="8" t="s">
        <v>30</v>
      </c>
    </row>
    <row r="30" spans="1:2" x14ac:dyDescent="0.25">
      <c r="A30" t="s">
        <v>31</v>
      </c>
      <c r="B30" s="11">
        <v>1511000000</v>
      </c>
    </row>
    <row r="31" spans="1:2" x14ac:dyDescent="0.25">
      <c r="A31" t="s">
        <v>32</v>
      </c>
      <c r="B31" s="13">
        <v>175500000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-0.05755062668754796</v>
      </c>
      <c r="C5" s="10">
        <f>Assumptions!B6</f>
        <v>-0.05755062668754796</v>
      </c>
      <c r="D5" s="10">
        <f>Assumptions!B6</f>
        <v>-0.05755062668754796</v>
      </c>
      <c r="E5" s="10">
        <f>Assumptions!B6</f>
        <v>-0.05755062668754796</v>
      </c>
      <c r="F5" s="10">
        <f>Assumptions!B6</f>
        <v>-0.05755062668754796</v>
      </c>
    </row>
    <row r="6" spans="1:6" x14ac:dyDescent="0.25">
      <c r="A6" t="s">
        <v>43</v>
      </c>
      <c r="B6" s="18">
        <f>Assumptions!B29*(1+B5)</f>
        <v>21748904187.931458</v>
      </c>
      <c r="C6" s="18">
        <f>B6*(1+C5)</f>
        <v>20497241122.148567</v>
      </c>
      <c r="D6" s="18">
        <f>C6*(1+D5)</f>
        <v>19317612050.20314</v>
      </c>
      <c r="E6" s="18">
        <f>D6*(1+E5)</f>
        <v>18205871370.60702</v>
      </c>
      <c r="F6" s="18">
        <f>E6*(1+F5)</f>
        <v>17158112063.8357</v>
      </c>
    </row>
    <row r="7" spans="1:6" x14ac:dyDescent="0.25">
      <c r="A7" t="s">
        <v>5</v>
      </c>
      <c r="B7" s="10">
        <f>Assumptions!B7</f>
        <v>0.03017596987090624</v>
      </c>
      <c r="C7" s="10">
        <f>Assumptions!B7</f>
        <v>0.03017596987090624</v>
      </c>
      <c r="D7" s="10">
        <f>Assumptions!B7</f>
        <v>0.03017596987090624</v>
      </c>
      <c r="E7" s="10">
        <f>Assumptions!B7</f>
        <v>0.03017596987090624</v>
      </c>
      <c r="F7" s="10">
        <f>Assumptions!B7</f>
        <v>0.03017596987090624</v>
      </c>
    </row>
    <row r="8" spans="1:6" x14ac:dyDescent="0.25">
      <c r="A8" t="s">
        <v>44</v>
      </c>
      <c r="B8" s="18">
        <f>B6*B7</f>
        <v>656294277.5002462</v>
      </c>
      <c r="C8" s="18">
        <f>C6*C7</f>
        <v>618524130.5386555</v>
      </c>
      <c r="D8" s="18">
        <f>D6*D7</f>
        <v>582927679.2047852</v>
      </c>
      <c r="E8" s="18">
        <f>E6*E7</f>
        <v>549379825.953032</v>
      </c>
      <c r="F8" s="18">
        <f>F6*F7</f>
        <v>517762672.6799389</v>
      </c>
    </row>
    <row r="9" spans="1:6" x14ac:dyDescent="0.25">
      <c r="A9" t="s">
        <v>45</v>
      </c>
      <c r="B9" s="18">
        <f>B8*(1-Assumptions!B8)</f>
        <v>495314746.9941257</v>
      </c>
      <c r="C9" s="18">
        <f>C8*(1-Assumptions!B8)</f>
        <v>466809072.8970295</v>
      </c>
      <c r="D9" s="18">
        <f>D8*(1-Assumptions!B8)</f>
        <v>439943918.2083723</v>
      </c>
      <c r="E9" s="18">
        <f>E8*(1-Assumptions!B8)</f>
        <v>414624870.00810516</v>
      </c>
      <c r="F9" s="18">
        <f>F8*(1-Assumptions!B8)</f>
        <v>390762948.89889556</v>
      </c>
    </row>
    <row r="10" spans="1:6" x14ac:dyDescent="0.25">
      <c r="A10" t="s">
        <v>46</v>
      </c>
      <c r="B10" s="18">
        <f>B6*Assumptions!B9</f>
        <v>278389442.8534503</v>
      </c>
      <c r="C10" s="18">
        <f>C6*Assumptions!B9</f>
        <v>262367955.95403692</v>
      </c>
      <c r="D10" s="18">
        <f>D6*Assumptions!B9</f>
        <v>247268515.66615114</v>
      </c>
      <c r="E10" s="18">
        <f>E6*Assumptions!B9</f>
        <v>233038057.62946436</v>
      </c>
      <c r="F10" s="18">
        <f>F6*Assumptions!B9</f>
        <v>219626571.37083977</v>
      </c>
    </row>
    <row r="11" spans="1:6" x14ac:dyDescent="0.25">
      <c r="A11" t="s">
        <v>47</v>
      </c>
      <c r="B11" s="18">
        <f>-B6*Assumptions!B10</f>
        <v>-217489041.87931457</v>
      </c>
      <c r="C11" s="18">
        <f>-C6*Assumptions!B10</f>
        <v>-204972411.22148567</v>
      </c>
      <c r="D11" s="18">
        <f>-D6*Assumptions!B10</f>
        <v>-193176120.50203142</v>
      </c>
      <c r="E11" s="18">
        <f>-E6*Assumptions!B10</f>
        <v>-182058713.7060702</v>
      </c>
      <c r="F11" s="18">
        <f>-F6*Assumptions!B10</f>
        <v>-171581120.63835698</v>
      </c>
    </row>
    <row r="12" spans="1:6" x14ac:dyDescent="0.25">
      <c r="A12" t="s">
        <v>48</v>
      </c>
      <c r="B12" s="18">
        <f>-(B6-Assumptions!B29)*Assumptions!B11</f>
        <v>69442918.27809373</v>
      </c>
      <c r="C12" s="18">
        <f>-(C6-B6)*Assumptions!B11</f>
        <v>65446434.81217727</v>
      </c>
      <c r="D12" s="18">
        <f>-(D6-C6)*Assumptions!B11</f>
        <v>61679951.474270694</v>
      </c>
      <c r="E12" s="18">
        <f>-(E6-D6)*Assumptions!B11</f>
        <v>58130231.612868965</v>
      </c>
      <c r="F12" s="18">
        <f>-(F6-E6)*Assumptions!B11</f>
        <v>54784800.35405607</v>
      </c>
    </row>
    <row r="13" spans="1:6" x14ac:dyDescent="0.25">
      <c r="A13" s="19" t="s">
        <v>49</v>
      </c>
      <c r="B13" s="20">
        <f>B9+B10+B11+B12</f>
        <v>625658066.2463552</v>
      </c>
      <c r="C13" s="20">
        <f>C9+C10+C11+C12</f>
        <v>589651052.441758</v>
      </c>
      <c r="D13" s="20">
        <f>D9+D10+D11+D12</f>
        <v>555716264.8467627</v>
      </c>
      <c r="E13" s="20">
        <f>E9+E10+E11+E12</f>
        <v>523734445.5443683</v>
      </c>
      <c r="F13" s="20">
        <f>F9+F10+F11+F12</f>
        <v>493593199.9854344</v>
      </c>
    </row>
    <row r="14" spans="1:6" x14ac:dyDescent="0.25">
      <c r="A14" t="s">
        <v>50</v>
      </c>
      <c r="B14" s="21">
        <f>1/(1+Assumptions!$B$26)^(1-0.5*Assumptions!$B$32)</f>
        <v>0.9579555625987931</v>
      </c>
      <c r="C14" s="21">
        <f>1/(1+Assumptions!$B$26)^(2-0.5*Assumptions!$B$32)</f>
        <v>0.8790955685339066</v>
      </c>
      <c r="D14" s="21">
        <f>1/(1+Assumptions!$B$26)^(3-0.5*Assumptions!$B$32)</f>
        <v>0.8067274190876188</v>
      </c>
      <c r="E14" s="21">
        <f>1/(1+Assumptions!$B$26)^(4-0.5*Assumptions!$B$32)</f>
        <v>0.7403166982096658</v>
      </c>
      <c r="F14" s="21">
        <f>1/(1+Assumptions!$B$26)^(5-0.5*Assumptions!$B$32)</f>
        <v>0.679372983588321</v>
      </c>
    </row>
    <row r="15" spans="1:6" x14ac:dyDescent="0.25">
      <c r="A15" s="19" t="s">
        <v>51</v>
      </c>
      <c r="B15" s="20">
        <f>B13*B14</f>
        <v>599352624.8455001</v>
      </c>
      <c r="C15" s="20">
        <f>C13*C14</f>
        <v>518359627.18290365</v>
      </c>
      <c r="D15" s="20">
        <f>D13*D14</f>
        <v>448311548.0848405</v>
      </c>
      <c r="E15" s="20">
        <f>E13*E14</f>
        <v>387729355.4640768</v>
      </c>
      <c r="F15" s="20">
        <f>F13*F14</f>
        <v>335333884.9530114</v>
      </c>
    </row>
    <row r="17" spans="1:2" x14ac:dyDescent="0.25">
      <c r="A17" s="22" t="s">
        <v>52</v>
      </c>
      <c r="B17" s="23">
        <f>SUM(B15:F15)</f>
        <v>2289087040.5303326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493593199.9854344</v>
      </c>
    </row>
    <row r="5" spans="1:2" x14ac:dyDescent="0.25">
      <c r="A5" t="s">
        <v>56</v>
      </c>
      <c r="B5" s="18">
        <f>IF(Assumptions!$B$33=0,B4,B4-Forecast!F11-Forecast!F10-Forecast!F12)</f>
        <v>438434519.4015046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0.2448360208219566</v>
      </c>
    </row>
    <row r="7" spans="1:2" x14ac:dyDescent="0.25">
      <c r="A7" t="s">
        <v>58</v>
      </c>
      <c r="B7" s="18">
        <f>-MAX(Forecast!F9,0)*B6</f>
        <v>-107344563.12125131</v>
      </c>
    </row>
    <row r="8" spans="1:2" x14ac:dyDescent="0.25">
      <c r="A8" t="s">
        <v>59</v>
      </c>
      <c r="B8" s="18">
        <f>IF(OR(Assumptions!$B$33=0,Assumptions!B12&lt;=0),B5,MAX(B5+B7,0))</f>
        <v>331089956.2802533</v>
      </c>
    </row>
    <row r="9" spans="1:2" x14ac:dyDescent="0.25">
      <c r="A9" t="s">
        <v>60</v>
      </c>
      <c r="B9" s="18">
        <f>B8*(1+Assumptions!B12)/(Assumptions!B26-Assumptions!B12)</f>
        <v>5244770470.06728</v>
      </c>
    </row>
    <row r="10" spans="1:2" x14ac:dyDescent="0.25">
      <c r="A10" t="s">
        <v>61</v>
      </c>
      <c r="B10" s="18">
        <f>B9/(1+Assumptions!B26)^(5-0.5*Assumptions!B32)</f>
        <v>3563155362.4855285</v>
      </c>
    </row>
    <row r="11" spans="1:2" x14ac:dyDescent="0.25">
      <c r="A11" t="s">
        <v>62</v>
      </c>
      <c r="B11" s="18">
        <f>Forecast!B17+B10</f>
        <v>5852242403.0158615</v>
      </c>
    </row>
    <row r="12" spans="1:2" x14ac:dyDescent="0.25">
      <c r="A12" t="s">
        <v>63</v>
      </c>
      <c r="B12" s="18">
        <f>-Assumptions!B30</f>
        <v>-1511000000</v>
      </c>
    </row>
    <row r="13" spans="1:2" x14ac:dyDescent="0.25">
      <c r="A13" t="s">
        <v>64</v>
      </c>
      <c r="B13" s="18">
        <f>B11+B12</f>
        <v>4341242403.0158615</v>
      </c>
    </row>
    <row r="14" spans="1:2" x14ac:dyDescent="0.25">
      <c r="A14" s="19" t="s">
        <v>65</v>
      </c>
      <c r="B14" s="24">
        <f>B13/Assumptions!B31</f>
        <v>24.736423948808326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737389244.0507786</v>
      </c>
    </row>
    <row r="18" spans="1:2" x14ac:dyDescent="0.25">
      <c r="A18" t="s">
        <v>60</v>
      </c>
      <c r="B18" s="18">
        <f>B17*Assumptions!B13</f>
        <v>6669378850.273145</v>
      </c>
    </row>
    <row r="19" spans="1:2" x14ac:dyDescent="0.25">
      <c r="A19" t="s">
        <v>61</v>
      </c>
      <c r="B19" s="18">
        <f>B18/(1+Assumptions!B26)^(5-0.5*Assumptions!B32)</f>
        <v>4530995808.190912</v>
      </c>
    </row>
    <row r="20" spans="1:2" x14ac:dyDescent="0.25">
      <c r="A20" t="s">
        <v>62</v>
      </c>
      <c r="B20" s="18">
        <f>Forecast!B17+B19</f>
        <v>6820082848.721245</v>
      </c>
    </row>
    <row r="21" spans="1:2" x14ac:dyDescent="0.25">
      <c r="A21" t="s">
        <v>63</v>
      </c>
      <c r="B21" s="18">
        <f>-Assumptions!B30</f>
        <v>-1511000000</v>
      </c>
    </row>
    <row r="22" spans="1:2" x14ac:dyDescent="0.25">
      <c r="A22" t="s">
        <v>64</v>
      </c>
      <c r="B22" s="18">
        <f>B20+B21</f>
        <v>5309082848.721245</v>
      </c>
    </row>
    <row r="23" spans="1:2" x14ac:dyDescent="0.25">
      <c r="A23" s="19" t="s">
        <v>65</v>
      </c>
      <c r="B23" s="25">
        <f>B22/Assumptions!B31</f>
        <v>30.251184323197975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24.736423948808326</v>
      </c>
    </row>
    <row r="29" spans="1:2" x14ac:dyDescent="0.25">
      <c r="A29" s="19" t="s">
        <v>73</v>
      </c>
      <c r="B29" s="12">
        <f>B28/B26-1</f>
        <v>-0.31930589023642475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0.069706</v>
      </c>
      <c r="B5" s="31">
        <v>34.18269714942656</v>
      </c>
      <c r="C5" s="31">
        <v>35.424495068976</v>
      </c>
      <c r="D5" s="31">
        <v>36.92385699266748</v>
      </c>
      <c r="E5" s="31">
        <v>38.77808458932012</v>
      </c>
      <c r="F5" s="31">
        <v>41.140551485811606</v>
      </c>
    </row>
    <row r="6" spans="1:6" x14ac:dyDescent="0.25">
      <c r="A6" s="30">
        <v>0.079706</v>
      </c>
      <c r="B6" s="31">
        <v>28.377488261266897</v>
      </c>
      <c r="C6" s="31">
        <v>29.006504563760068</v>
      </c>
      <c r="D6" s="31">
        <v>29.734666908322</v>
      </c>
      <c r="E6" s="31">
        <v>30.59189503564863</v>
      </c>
      <c r="F6" s="31">
        <v>31.621493798365336</v>
      </c>
    </row>
    <row r="7" spans="1:6" x14ac:dyDescent="0.25">
      <c r="A7" s="30">
        <v>0.089706</v>
      </c>
      <c r="B7" s="31">
        <v>24.10539228908726</v>
      </c>
      <c r="C7" s="31">
        <v>24.404203257375027</v>
      </c>
      <c r="D7" s="32">
        <v>24.73635013580025</v>
      </c>
      <c r="E7" s="31">
        <v>25.11020793947132</v>
      </c>
      <c r="F7" s="31">
        <v>25.53721351039255</v>
      </c>
    </row>
    <row r="8" spans="1:6" x14ac:dyDescent="0.25">
      <c r="A8" s="30">
        <v>0.099706</v>
      </c>
      <c r="B8" s="31">
        <v>20.824388987895155</v>
      </c>
      <c r="C8" s="31">
        <v>20.935370215019173</v>
      </c>
      <c r="D8" s="31">
        <v>21.050530578564143</v>
      </c>
      <c r="E8" s="31">
        <v>21.170769384849677</v>
      </c>
      <c r="F8" s="31">
        <v>21.297263907097868</v>
      </c>
    </row>
    <row r="9" spans="1:6" x14ac:dyDescent="0.25">
      <c r="A9" s="30">
        <v>0.109706</v>
      </c>
      <c r="B9" s="31">
        <v>18.391826281542336</v>
      </c>
      <c r="C9" s="31">
        <v>18.46310034828464</v>
      </c>
      <c r="D9" s="31">
        <v>18.534374415026946</v>
      </c>
      <c r="E9" s="31">
        <v>18.60564848176925</v>
      </c>
      <c r="F9" s="31">
        <v>18.676922548511556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23077000000</v>
      </c>
      <c r="C5" s="18">
        <v>24122000000</v>
      </c>
      <c r="D5" s="18">
        <v>25426000000</v>
      </c>
      <c r="E5" s="18">
        <v>27568000000</v>
      </c>
      <c r="F5" s="8" t="s">
        <v>84</v>
      </c>
    </row>
    <row r="6" spans="1:6" x14ac:dyDescent="0.25">
      <c r="A6" t="s">
        <v>44</v>
      </c>
      <c r="B6" s="18">
        <v>555000000</v>
      </c>
      <c r="C6" s="18">
        <v>497000000</v>
      </c>
      <c r="D6" s="18">
        <v>885000000</v>
      </c>
      <c r="E6" s="18">
        <v>1137000000</v>
      </c>
      <c r="F6" s="8" t="s">
        <v>85</v>
      </c>
    </row>
    <row r="7" spans="1:6" x14ac:dyDescent="0.25">
      <c r="A7" t="s">
        <v>86</v>
      </c>
      <c r="B7" s="18">
        <v>317000000</v>
      </c>
      <c r="C7" s="18">
        <v>325000000</v>
      </c>
      <c r="D7" s="18">
        <v>325000000</v>
      </c>
      <c r="E7" s="18">
        <v>309000000</v>
      </c>
      <c r="F7" s="8" t="s">
        <v>87</v>
      </c>
    </row>
    <row r="8" spans="1:6" x14ac:dyDescent="0.25">
      <c r="A8" t="s">
        <v>88</v>
      </c>
      <c r="B8" s="18">
        <v>73000000</v>
      </c>
      <c r="C8" s="18">
        <v>84000000</v>
      </c>
      <c r="D8" s="18">
        <v>93000000</v>
      </c>
      <c r="E8" s="18">
        <v>122000000</v>
      </c>
      <c r="F8" s="8" t="s">
        <v>89</v>
      </c>
    </row>
    <row r="9" spans="1:6" x14ac:dyDescent="0.25">
      <c r="A9" t="s">
        <v>90</v>
      </c>
      <c r="B9" s="18">
        <v>-90000000</v>
      </c>
      <c r="C9" s="18">
        <v>89000000</v>
      </c>
      <c r="D9" s="18">
        <v>-112000000</v>
      </c>
      <c r="E9" s="18">
        <v>213000000</v>
      </c>
      <c r="F9" s="8" t="s">
        <v>91</v>
      </c>
    </row>
    <row r="10" spans="1:6" x14ac:dyDescent="0.25">
      <c r="A10" t="s">
        <v>92</v>
      </c>
      <c r="B10" s="18">
        <v>1910000000</v>
      </c>
      <c r="C10" s="18">
        <v>2218000000</v>
      </c>
      <c r="D10" s="18">
        <v>1184000000</v>
      </c>
      <c r="E10" s="18">
        <v>1144000000</v>
      </c>
      <c r="F10" s="8" t="s">
        <v>93</v>
      </c>
    </row>
    <row r="11" spans="1:6" x14ac:dyDescent="0.25">
      <c r="A11" t="s">
        <v>94</v>
      </c>
      <c r="B11" s="18">
        <v>399000000</v>
      </c>
      <c r="C11" s="18">
        <v>357000000</v>
      </c>
      <c r="D11" s="18">
        <v>261000000</v>
      </c>
      <c r="E11" s="18">
        <v>274000000</v>
      </c>
      <c r="F11" s="8" t="s">
        <v>95</v>
      </c>
    </row>
    <row r="12" spans="1:6" x14ac:dyDescent="0.25">
      <c r="A12" t="s">
        <v>32</v>
      </c>
      <c r="B12" s="34">
        <v>175500000</v>
      </c>
      <c r="C12" s="34">
        <v>177100000</v>
      </c>
      <c r="D12" s="34">
        <v>179500000</v>
      </c>
      <c r="E12" s="34">
        <v>183500000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