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<sst xmlns="http://schemas.openxmlformats.org/spreadsheetml/2006/main" count="113" uniqueCount="101">
  <si>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Rogers Communications Inc. (RCI-B.TO)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</si>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</sst>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0.12140884173136346</v>
      </c>
    </row>
    <row r="7" spans="1:2" x14ac:dyDescent="0.25">
      <c r="A7" t="s">
        <v>5</v>
      </c>
      <c r="B7" s="6">
        <v>0.23821180872645292</v>
      </c>
    </row>
    <row r="8" spans="1:2" x14ac:dyDescent="0.25">
      <c r="A8" t="s">
        <v>6</v>
      </c>
      <c r="B8" s="6">
        <v>0.2570518074110617</v>
      </c>
    </row>
    <row r="9" spans="1:2" x14ac:dyDescent="0.25">
      <c r="A9" t="s">
        <v>7</v>
      </c>
      <c r="B9" s="6">
        <v>0.21013983193920732</v>
      </c>
    </row>
    <row r="10" spans="1:2" x14ac:dyDescent="0.25">
      <c r="A10" t="s">
        <v>8</v>
      </c>
      <c r="B10" s="6">
        <v>0.20029921561266728</v>
      </c>
    </row>
    <row r="11" spans="1:2" x14ac:dyDescent="0.25">
      <c r="A11" t="s">
        <v>9</v>
      </c>
      <c r="B11" s="6">
        <v>0.5342960288808665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7.0053377137088635</v>
      </c>
    </row>
    <row r="14" spans="1:3" x14ac:dyDescent="0.25">
      <c r="A14" t="s">
        <v>12</v>
      </c>
      <c r="B14" s="6">
        <v>0.0633396599065455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0.8727</v>
      </c>
      <c r="C19" s="8" t="s">
        <v>19</v>
      </c>
    </row>
    <row r="20" spans="1:2" x14ac:dyDescent="0.25">
      <c r="A20" t="s">
        <v>20</v>
      </c>
      <c r="B20" s="10">
        <f>B17+B19*B18</f>
        <v>0.0809985</v>
      </c>
    </row>
    <row r="21" spans="1:3" x14ac:dyDescent="0.25">
      <c r="A21" t="s">
        <v>21</v>
      </c>
      <c r="B21" s="6">
        <v>0.045115402629371845</v>
      </c>
      <c r="C21" s="8" t="s">
        <v>22</v>
      </c>
    </row>
    <row r="22" spans="1:2" x14ac:dyDescent="0.25">
      <c r="A22" t="s">
        <v>23</v>
      </c>
      <c r="B22" s="11">
        <v>26562875392</v>
      </c>
    </row>
    <row r="23" spans="1:2" x14ac:dyDescent="0.25">
      <c r="A23" t="s">
        <v>24</v>
      </c>
      <c r="B23" s="11">
        <v>44176000000</v>
      </c>
    </row>
    <row r="24" spans="1:2" x14ac:dyDescent="0.25">
      <c r="A24" t="s">
        <v>25</v>
      </c>
      <c r="B24" s="10">
        <f>B22/(B22+B23)</f>
        <v>0.3755060459302135</v>
      </c>
    </row>
    <row r="25" spans="1:2" x14ac:dyDescent="0.25">
      <c r="A25" t="s">
        <v>26</v>
      </c>
      <c r="B25" s="10">
        <f>1-B24</f>
        <v>0.6244939540697865</v>
      </c>
    </row>
    <row r="26" spans="1:2" x14ac:dyDescent="0.25">
      <c r="A26" t="s">
        <v>27</v>
      </c>
      <c r="B26" s="12">
        <f>B24*B20+B25*B21*(1-B8)</f>
        <v>0.05134746888379284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21712000000</v>
      </c>
      <c r="C29" s="8" t="s">
        <v>30</v>
      </c>
    </row>
    <row r="30" spans="1:2" x14ac:dyDescent="0.25">
      <c r="A30" t="s">
        <v>31</v>
      </c>
      <c r="B30" s="11">
        <v>42832000000</v>
      </c>
    </row>
    <row r="31" spans="1:2" x14ac:dyDescent="0.25">
      <c r="A31" t="s">
        <v>32</v>
      </c>
      <c r="B31" s="13">
        <v>541000000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0.12140884173136346</v>
      </c>
      <c r="C5" s="10">
        <f>Assumptions!B6</f>
        <v>0.12140884173136346</v>
      </c>
      <c r="D5" s="10">
        <f>Assumptions!B6</f>
        <v>0.12140884173136346</v>
      </c>
      <c r="E5" s="10">
        <f>Assumptions!B6</f>
        <v>0.12140884173136346</v>
      </c>
      <c r="F5" s="10">
        <f>Assumptions!B6</f>
        <v>0.12140884173136346</v>
      </c>
    </row>
    <row r="6" spans="1:6" x14ac:dyDescent="0.25">
      <c r="A6" t="s">
        <v>43</v>
      </c>
      <c r="B6" s="18">
        <f>Assumptions!B29*(1+B5)</f>
        <v>24348028771.671364</v>
      </c>
      <c r="C6" s="18">
        <f>B6*(1+C5)</f>
        <v>27304094743.281895</v>
      </c>
      <c r="D6" s="18">
        <f>C6*(1+D5)</f>
        <v>30619053260.58716</v>
      </c>
      <c r="E6" s="18">
        <f>D6*(1+E5)</f>
        <v>34336477051.865974</v>
      </c>
      <c r="F6" s="18">
        <f>E6*(1+F5)</f>
        <v>38505228959.86856</v>
      </c>
    </row>
    <row r="7" spans="1:6" x14ac:dyDescent="0.25">
      <c r="A7" t="s">
        <v>5</v>
      </c>
      <c r="B7" s="10">
        <f>Assumptions!B7</f>
        <v>0.23821180872645292</v>
      </c>
      <c r="C7" s="10">
        <f>Assumptions!B7</f>
        <v>0.23821180872645292</v>
      </c>
      <c r="D7" s="10">
        <f>Assumptions!B7</f>
        <v>0.23821180872645292</v>
      </c>
      <c r="E7" s="10">
        <f>Assumptions!B7</f>
        <v>0.23821180872645292</v>
      </c>
      <c r="F7" s="10">
        <f>Assumptions!B7</f>
        <v>0.23821180872645292</v>
      </c>
    </row>
    <row r="8" spans="1:6" x14ac:dyDescent="0.25">
      <c r="A8" t="s">
        <v>44</v>
      </c>
      <c r="B8" s="18">
        <f>B6*B7</f>
        <v>5799987972.623551</v>
      </c>
      <c r="C8" s="18">
        <f>C6*C7</f>
        <v>6504157794.435616</v>
      </c>
      <c r="D8" s="18">
        <f>D6*D7</f>
        <v>7293820058.696063</v>
      </c>
      <c r="E8" s="18">
        <f>E6*E7</f>
        <v>8179354303.819338</v>
      </c>
      <c r="F8" s="18">
        <f>F6*F7</f>
        <v>9172400235.956486</v>
      </c>
    </row>
    <row r="9" spans="1:6" x14ac:dyDescent="0.25">
      <c r="A9" t="s">
        <v>45</v>
      </c>
      <c r="B9" s="18">
        <f>B8*(1-Assumptions!B8)</f>
        <v>4309090581.298248</v>
      </c>
      <c r="C9" s="18">
        <f>C8*(1-Assumptions!B8)</f>
        <v>4832252277.689196</v>
      </c>
      <c r="D9" s="18">
        <f>D8*(1-Assumptions!B8)</f>
        <v>5418930429.677184</v>
      </c>
      <c r="E9" s="18">
        <f>E8*(1-Assumptions!B8)</f>
        <v>6076836496.567131</v>
      </c>
      <c r="F9" s="18">
        <f>F8*(1-Assumptions!B8)</f>
        <v>6814618177.006222</v>
      </c>
    </row>
    <row r="10" spans="1:6" x14ac:dyDescent="0.25">
      <c r="A10" t="s">
        <v>46</v>
      </c>
      <c r="B10" s="18">
        <f>B6*Assumptions!B9</f>
        <v>5116490674.130005</v>
      </c>
      <c r="C10" s="18">
        <f>C6*Assumptions!B9</f>
        <v>5737677880.605452</v>
      </c>
      <c r="D10" s="18">
        <f>D6*Assumptions!B9</f>
        <v>6434282706.317424</v>
      </c>
      <c r="E10" s="18">
        <f>E6*Assumptions!B9</f>
        <v>7215461517.063564</v>
      </c>
      <c r="F10" s="18">
        <f>F6*Assumptions!B9</f>
        <v>8091482342.407478</v>
      </c>
    </row>
    <row r="11" spans="1:6" x14ac:dyDescent="0.25">
      <c r="A11" t="s">
        <v>47</v>
      </c>
      <c r="B11" s="18">
        <f>-B6*Assumptions!B10</f>
        <v>-4876891064.680429</v>
      </c>
      <c r="C11" s="18">
        <f>-C6*Assumptions!B10</f>
        <v>-5468988760.093315</v>
      </c>
      <c r="D11" s="18">
        <f>-D6*Assumptions!B10</f>
        <v>-6132972350.89809</v>
      </c>
      <c r="E11" s="18">
        <f>-E6*Assumptions!B10</f>
        <v>-6877569420.391105</v>
      </c>
      <c r="F11" s="18">
        <f>-F6*Assumptions!B10</f>
        <v>-7712567157.647833</v>
      </c>
    </row>
    <row r="12" spans="1:6" x14ac:dyDescent="0.25">
      <c r="A12" t="s">
        <v>48</v>
      </c>
      <c r="B12" s="18">
        <f>-(B6-Assumptions!B29)*Assumptions!B11</f>
        <v>-1408419704.719718</v>
      </c>
      <c r="C12" s="18">
        <f>-(C6-B6)*Assumptions!B11</f>
        <v>-1579414309.7413669</v>
      </c>
      <c r="D12" s="18">
        <f>-(D6-C6)*Assumptions!B11</f>
        <v>-1771169171.7010074</v>
      </c>
      <c r="E12" s="18">
        <f>-(E6-D6)*Assumptions!B11</f>
        <v>-1986204769.3475266</v>
      </c>
      <c r="F12" s="18">
        <f>-(F6-E6)*Assumptions!B11</f>
        <v>-2227347589.835317</v>
      </c>
    </row>
    <row r="13" spans="1:6" x14ac:dyDescent="0.25">
      <c r="A13" s="19" t="s">
        <v>49</v>
      </c>
      <c r="B13" s="20">
        <f>B9+B10+B11+B12</f>
        <v>3140270486.0281057</v>
      </c>
      <c r="C13" s="20">
        <f>C9+C10+C11+C12</f>
        <v>3521527088.459965</v>
      </c>
      <c r="D13" s="20">
        <f>D9+D10+D11+D12</f>
        <v>3949071613.39551</v>
      </c>
      <c r="E13" s="20">
        <f>E9+E10+E11+E12</f>
        <v>4428523823.892064</v>
      </c>
      <c r="F13" s="20">
        <f>F9+F10+F11+F12</f>
        <v>4966185771.93055</v>
      </c>
    </row>
    <row r="14" spans="1:6" x14ac:dyDescent="0.25">
      <c r="A14" t="s">
        <v>50</v>
      </c>
      <c r="B14" s="21">
        <f>1/(1+Assumptions!$B$26)^(1-0.5*Assumptions!$B$32)</f>
        <v>0.9752744869101794</v>
      </c>
      <c r="C14" s="21">
        <f>1/(1+Assumptions!$B$26)^(2-0.5*Assumptions!$B$32)</f>
        <v>0.9276423977561105</v>
      </c>
      <c r="D14" s="21">
        <f>1/(1+Assumptions!$B$26)^(3-0.5*Assumptions!$B$32)</f>
        <v>0.8823366443645704</v>
      </c>
      <c r="E14" s="21">
        <f>1/(1+Assumptions!$B$26)^(4-0.5*Assumptions!$B$32)</f>
        <v>0.8392436092525528</v>
      </c>
      <c r="F14" s="21">
        <f>1/(1+Assumptions!$B$26)^(5-0.5*Assumptions!$B$32)</f>
        <v>0.7982552239780165</v>
      </c>
    </row>
    <row r="15" spans="1:6" x14ac:dyDescent="0.25">
      <c r="A15" s="19" t="s">
        <v>51</v>
      </c>
      <c r="B15" s="20">
        <f>B13*B14</f>
        <v>3062625687.0202403</v>
      </c>
      <c r="C15" s="20">
        <f>C13*C14</f>
        <v>3266717832.1020966</v>
      </c>
      <c r="D15" s="20">
        <f>D13*D14</f>
        <v>3484410595.7187743</v>
      </c>
      <c r="E15" s="20">
        <f>E13*E14</f>
        <v>3716610317.6240926</v>
      </c>
      <c r="F15" s="20">
        <f>F13*F14</f>
        <v>3964283735.68886</v>
      </c>
    </row>
    <row r="17" spans="1:2" x14ac:dyDescent="0.25">
      <c r="A17" s="22" t="s">
        <v>52</v>
      </c>
      <c r="B17" s="23">
        <f>SUM(B15:F15)</f>
        <v>17494648168.154064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4966185771.93055</v>
      </c>
    </row>
    <row r="5" spans="1:2" x14ac:dyDescent="0.25">
      <c r="A5" t="s">
        <v>56</v>
      </c>
      <c r="B5" s="18">
        <f>IF(Assumptions!$B$33=0,B4,B4-Forecast!F11-Forecast!F10-Forecast!F12)</f>
        <v>6928833904.33613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0.39469741449332457</v>
      </c>
    </row>
    <row r="7" spans="1:2" x14ac:dyDescent="0.25">
      <c r="A7" t="s">
        <v>58</v>
      </c>
      <c r="B7" s="18">
        <f>-MAX(Forecast!F9,0)*B6</f>
        <v>-2734792827.495158</v>
      </c>
    </row>
    <row r="8" spans="1:2" x14ac:dyDescent="0.25">
      <c r="A8" t="s">
        <v>59</v>
      </c>
      <c r="B8" s="18">
        <f>IF(OR(Assumptions!$B$33=0,Assumptions!B12&lt;=0),B5,MAX(B5+B7,0))</f>
        <v>4194041076.840972</v>
      </c>
    </row>
    <row r="9" spans="1:2" x14ac:dyDescent="0.25">
      <c r="A9" t="s">
        <v>60</v>
      </c>
      <c r="B9" s="18">
        <f>B8*(1+Assumptions!B12)/(Assumptions!B26-Assumptions!B12)</f>
        <v>163161483280.33063</v>
      </c>
    </row>
    <row r="10" spans="1:2" x14ac:dyDescent="0.25">
      <c r="A10" t="s">
        <v>61</v>
      </c>
      <c r="B10" s="18">
        <f>B9/(1+Assumptions!B26)^(5-0.5*Assumptions!B32)</f>
        <v>130244506380.52573</v>
      </c>
    </row>
    <row r="11" spans="1:2" x14ac:dyDescent="0.25">
      <c r="A11" t="s">
        <v>62</v>
      </c>
      <c r="B11" s="18">
        <f>Forecast!B17+B10</f>
        <v>147739154548.67978</v>
      </c>
    </row>
    <row r="12" spans="1:2" x14ac:dyDescent="0.25">
      <c r="A12" t="s">
        <v>63</v>
      </c>
      <c r="B12" s="18">
        <f>-Assumptions!B30</f>
        <v>-42832000000</v>
      </c>
    </row>
    <row r="13" spans="1:2" x14ac:dyDescent="0.25">
      <c r="A13" t="s">
        <v>64</v>
      </c>
      <c r="B13" s="18">
        <f>B11+B12</f>
        <v>104907154548.67978</v>
      </c>
    </row>
    <row r="14" spans="1:2" x14ac:dyDescent="0.25">
      <c r="A14" s="19" t="s">
        <v>65</v>
      </c>
      <c r="B14" s="24">
        <f>B13/Assumptions!B31</f>
        <v>193.91340951696816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17263882578.363964</v>
      </c>
    </row>
    <row r="18" spans="1:2" x14ac:dyDescent="0.25">
      <c r="A18" t="s">
        <v>60</v>
      </c>
      <c r="B18" s="18">
        <f>B17*Assumptions!B13</f>
        <v>120939327711.25449</v>
      </c>
    </row>
    <row r="19" spans="1:2" x14ac:dyDescent="0.25">
      <c r="A19" t="s">
        <v>61</v>
      </c>
      <c r="B19" s="18">
        <f>B18/(1+Assumptions!B26)^(5-0.5*Assumptions!B32)</f>
        <v>96540450129.8982</v>
      </c>
    </row>
    <row r="20" spans="1:2" x14ac:dyDescent="0.25">
      <c r="A20" t="s">
        <v>62</v>
      </c>
      <c r="B20" s="18">
        <f>Forecast!B17+B19</f>
        <v>114035098298.05226</v>
      </c>
    </row>
    <row r="21" spans="1:2" x14ac:dyDescent="0.25">
      <c r="A21" t="s">
        <v>63</v>
      </c>
      <c r="B21" s="18">
        <f>-Assumptions!B30</f>
        <v>-42832000000</v>
      </c>
    </row>
    <row r="22" spans="1:2" x14ac:dyDescent="0.25">
      <c r="A22" t="s">
        <v>64</v>
      </c>
      <c r="B22" s="18">
        <f>B20+B21</f>
        <v>71203098298.05226</v>
      </c>
    </row>
    <row r="23" spans="1:2" x14ac:dyDescent="0.25">
      <c r="A23" s="19" t="s">
        <v>65</v>
      </c>
      <c r="B23" s="25">
        <f>B22/Assumptions!B31</f>
        <v>131.6138600703369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49.17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193.91340951696816</v>
      </c>
    </row>
    <row r="29" spans="1:2" x14ac:dyDescent="0.25">
      <c r="A29" s="19" t="s">
        <v>73</v>
      </c>
      <c r="B29" s="12">
        <f>B28/B26-1</f>
        <v>2.9437341776890005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0.031347</v>
      </c>
      <c r="B5" s="31">
        <v>483.05126378229573</v>
      </c>
      <c r="C5" s="31">
        <v>640.4517887260184</v>
      </c>
      <c r="D5" s="31">
        <v>1044.457986401716</v>
      </c>
      <c r="E5" s="31">
        <v>4441.23547743271</v>
      </c>
      <c r="F5" s="31" t="s">
        <v>76</v>
      </c>
    </row>
    <row r="6" spans="1:6" x14ac:dyDescent="0.25">
      <c r="A6" s="30">
        <v>0.041347</v>
      </c>
      <c r="B6" s="31">
        <v>267.7864805694919</v>
      </c>
      <c r="C6" s="31">
        <v>302.93599628003403</v>
      </c>
      <c r="D6" s="31">
        <v>359.07223793092516</v>
      </c>
      <c r="E6" s="31">
        <v>463.93829965323414</v>
      </c>
      <c r="F6" s="31">
        <v>732.6984009319564</v>
      </c>
    </row>
    <row r="7" spans="1:6" x14ac:dyDescent="0.25">
      <c r="A7" s="30">
        <v>0.051347</v>
      </c>
      <c r="B7" s="31">
        <v>171.05251637248926</v>
      </c>
      <c r="C7" s="31">
        <v>180.79049850051587</v>
      </c>
      <c r="D7" s="32">
        <v>193.91821506277353</v>
      </c>
      <c r="E7" s="31">
        <v>212.8175471907311</v>
      </c>
      <c r="F7" s="31">
        <v>242.78452678537963</v>
      </c>
    </row>
    <row r="8" spans="1:6" x14ac:dyDescent="0.25">
      <c r="A8" s="30">
        <v>0.061347</v>
      </c>
      <c r="B8" s="31">
        <v>116.12206824116431</v>
      </c>
      <c r="C8" s="31">
        <v>117.74899871564406</v>
      </c>
      <c r="D8" s="31">
        <v>119.61076009636788</v>
      </c>
      <c r="E8" s="31">
        <v>121.81972242173391</v>
      </c>
      <c r="F8" s="31">
        <v>124.57355579344747</v>
      </c>
    </row>
    <row r="9" spans="1:6" x14ac:dyDescent="0.25">
      <c r="A9" s="30">
        <v>0.071347</v>
      </c>
      <c r="B9" s="31">
        <v>85.23248388437759</v>
      </c>
      <c r="C9" s="31">
        <v>85.89070447377243</v>
      </c>
      <c r="D9" s="31">
        <v>86.54892506316722</v>
      </c>
      <c r="E9" s="31">
        <v>87.20714565256203</v>
      </c>
      <c r="F9" s="31">
        <v>87.86536624195683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21712000000</v>
      </c>
      <c r="C5" s="18">
        <v>20604000000</v>
      </c>
      <c r="D5" s="18">
        <v>19308000000</v>
      </c>
      <c r="E5" s="18">
        <v>15396000000</v>
      </c>
      <c r="F5" s="8" t="s">
        <v>85</v>
      </c>
    </row>
    <row r="6" spans="1:6" x14ac:dyDescent="0.25">
      <c r="A6" t="s">
        <v>44</v>
      </c>
      <c r="B6" s="18">
        <v>5018000000</v>
      </c>
      <c r="C6" s="18">
        <v>5003000000</v>
      </c>
      <c r="D6" s="18">
        <v>4460000000</v>
      </c>
      <c r="E6" s="18">
        <v>3817000000</v>
      </c>
      <c r="F6" s="8" t="s">
        <v>86</v>
      </c>
    </row>
    <row r="7" spans="1:6" x14ac:dyDescent="0.25">
      <c r="A7" t="s">
        <v>87</v>
      </c>
      <c r="B7" s="18">
        <v>4888000000</v>
      </c>
      <c r="C7" s="18">
        <v>4679000000</v>
      </c>
      <c r="D7" s="18">
        <v>4191000000</v>
      </c>
      <c r="E7" s="18">
        <v>2637000000</v>
      </c>
      <c r="F7" s="8" t="s">
        <v>88</v>
      </c>
    </row>
    <row r="8" spans="1:6" x14ac:dyDescent="0.25">
      <c r="A8" t="s">
        <v>89</v>
      </c>
      <c r="B8" s="18">
        <v>3968000000</v>
      </c>
      <c r="C8" s="18">
        <v>4172000000</v>
      </c>
      <c r="D8" s="18">
        <v>4116000000</v>
      </c>
      <c r="E8" s="18">
        <v>3122000000</v>
      </c>
      <c r="F8" s="8" t="s">
        <v>90</v>
      </c>
    </row>
    <row r="9" spans="1:6" x14ac:dyDescent="0.25">
      <c r="A9" t="s">
        <v>91</v>
      </c>
      <c r="B9" s="18">
        <v>592000000</v>
      </c>
      <c r="C9" s="18">
        <v>876000000</v>
      </c>
      <c r="D9" s="18">
        <v>627000000</v>
      </c>
      <c r="E9" s="18">
        <v>152000000</v>
      </c>
      <c r="F9" s="8" t="s">
        <v>92</v>
      </c>
    </row>
    <row r="10" spans="1:6" x14ac:dyDescent="0.25">
      <c r="A10" t="s">
        <v>93</v>
      </c>
      <c r="B10" s="18">
        <v>44176000000</v>
      </c>
      <c r="C10" s="18">
        <v>47633000000</v>
      </c>
      <c r="D10" s="18">
        <v>45198000000</v>
      </c>
      <c r="E10" s="18">
        <v>36746000000</v>
      </c>
      <c r="F10" s="8" t="s">
        <v>94</v>
      </c>
    </row>
    <row r="11" spans="1:6" x14ac:dyDescent="0.25">
      <c r="A11" t="s">
        <v>95</v>
      </c>
      <c r="B11" s="18">
        <v>1344000000</v>
      </c>
      <c r="C11" s="18">
        <v>898000000</v>
      </c>
      <c r="D11" s="18">
        <v>800000000</v>
      </c>
      <c r="E11" s="18">
        <v>463000000</v>
      </c>
      <c r="F11" s="8" t="s">
        <v>96</v>
      </c>
    </row>
    <row r="12" spans="1:6" x14ac:dyDescent="0.25">
      <c r="A12" t="s">
        <v>32</v>
      </c>
      <c r="B12" s="34">
        <v>541000000</v>
      </c>
      <c r="C12" s="34">
        <v>541875000</v>
      </c>
      <c r="D12" s="34">
        <v>524000000</v>
      </c>
      <c r="E12" s="34">
        <v>506024096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8" spans="1:1" x14ac:dyDescent="0.25">
      <c r="A18" s="36" t="s">
        <v>100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2026-09-19T01:58:57Z</dcterms:modified>
</cp:coreProperties>
</file>