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<sst xmlns="http://schemas.openxmlformats.org/spreadsheetml/2006/main" count="120" uniqueCount="107">
  <si>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Royal Caribbean Cruises Ltd. (RCL)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</si>
  <si>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</si>
  <si>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</si>
  <si>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</si>
  <si>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</si>
  <si>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</si>
  <si>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</si>
  <si>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</si>
  <si>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</si>
  <si>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</si>
  <si>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</si>
  <si>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</si>
  <si>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</si>
  <si>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</si>
  <si>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</si>
  <si>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</si>
  <si>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</si>
  <si>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</si>
  <si>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</si>
  <si>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</si>
  <si>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</si>
  <si>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</si>
  <si>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</si>
  <si>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</si>
  <si>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+ 78bp, the spread for a A rating at 4.9x interest cover. Book interest / average debt was lower, at 4.6%.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</si>
  <si>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</si>
  <si>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</si>
  <si>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</si>
  <si>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</si>
  <si>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</si>
  <si>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</si>
  <si>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</si>
  <si>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</si>
  <si>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</si>
  <si>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</si>
  <si>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</si>
  <si>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</si>
  <si>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</si>
  <si>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</si>
  <si>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</si>
  <si>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</si>
  <si>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</si>
  <si>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</si>
  <si>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</si>
  <si>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</si>
  <si>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</si>
  <si>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</si>
  <si>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</si>
  <si>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</si>
  <si>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</si>
  <si>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</si>
  <si>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</si>
  <si>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</si>
  <si>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</si>
  <si>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</si>
  <si>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</si>
  <si>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</si>
  <si>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</si>
  <si>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</si>
  <si>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</si>
  <si>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</si>
  <si>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</si>
  <si>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</si>
  <si>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</si>
  <si>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</si>
  <si>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</si>
  <si>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</si>
  <si>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</si>
  <si>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</si>
  <si>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</si>
  <si>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</si>
  <si>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</si>
  <si>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</si>
  <si>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</si>
  <si>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</si>
  <si>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</si>
  <si>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</si>
  <si>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</si>
  <si>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</si>
  <si>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</si>
  <si>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</si>
  <si>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</si>
  <si>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</si>
  <si>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</si>
  <si>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</si>
  <si>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</si>
  <si>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</si>
  <si>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</si>
  <si>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</si>
  <si>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</si>
  <si>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</si>
  <si>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</si>
  <si>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</si>
  <si>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</si>
  <si>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</si>
  <si>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</si>
  <si>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</si>
  <si>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</si>
  <si>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</si>
  <si>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</si>
  <si>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</si>
  <si>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</si>
  <si>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</si>
  <si>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</si>
  <si>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</si>
  <si>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26.9% of revenue against depreciation of 11.4%.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</si>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</sst>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0.09098551243448205</v>
      </c>
    </row>
    <row r="7" spans="1:2" x14ac:dyDescent="0.25">
      <c r="A7" t="s">
        <v>4</v>
      </c>
      <c r="B7" s="5">
        <v>0.16084416470301052</v>
      </c>
    </row>
    <row r="8" spans="1:2" x14ac:dyDescent="0.25">
      <c r="A8" t="s">
        <v>5</v>
      </c>
      <c r="B8" s="5">
        <v>0.01563030920829086</v>
      </c>
    </row>
    <row r="9" spans="1:2" x14ac:dyDescent="0.25">
      <c r="A9" t="s">
        <v>6</v>
      </c>
      <c r="B9" s="5">
        <v>0.11417319542513868</v>
      </c>
    </row>
    <row r="10" spans="1:3" x14ac:dyDescent="0.25">
      <c r="A10" t="s">
        <v>7</v>
      </c>
      <c r="B10" s="5">
        <v>0.26918267746163443</v>
      </c>
      <c r="C10" s="6" t="s">
        <v>8</v>
      </c>
    </row>
    <row r="11" spans="1:2" x14ac:dyDescent="0.25">
      <c r="A11" t="s">
        <v>9</v>
      </c>
      <c r="B11" s="5">
        <v>-0.013583560812860176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15.596216255884128</v>
      </c>
    </row>
    <row r="14" spans="1:3" x14ac:dyDescent="0.25">
      <c r="A14" t="s">
        <v>12</v>
      </c>
      <c r="B14" s="5">
        <v>0.14630741668556535</v>
      </c>
      <c r="C14" s="6" t="s">
        <v>13</v>
      </c>
    </row>
    <row r="15" spans="1:3" x14ac:dyDescent="0.25">
      <c r="A15" t="s">
        <v>14</v>
      </c>
      <c r="B15" s="5">
        <v>0.11417319542513868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1.5507400000000002</v>
      </c>
      <c r="C19" s="6" t="s">
        <v>21</v>
      </c>
    </row>
    <row r="20" spans="1:2" x14ac:dyDescent="0.25">
      <c r="A20" t="s">
        <v>22</v>
      </c>
      <c r="B20" s="9">
        <f>B17+B19*B18</f>
        <v>0.114536302</v>
      </c>
    </row>
    <row r="21" spans="1:3" x14ac:dyDescent="0.25">
      <c r="A21" t="s">
        <v>23</v>
      </c>
      <c r="B21" s="5">
        <v>0.056740000000000006</v>
      </c>
      <c r="C21" s="6" t="s">
        <v>24</v>
      </c>
    </row>
    <row r="22" spans="1:2" x14ac:dyDescent="0.25">
      <c r="A22" t="s">
        <v>25</v>
      </c>
      <c r="B22" s="10">
        <v>82161721344</v>
      </c>
    </row>
    <row r="23" spans="1:2" x14ac:dyDescent="0.25">
      <c r="A23" t="s">
        <v>26</v>
      </c>
      <c r="B23" s="10">
        <v>22035000000</v>
      </c>
    </row>
    <row r="24" spans="1:2" x14ac:dyDescent="0.25">
      <c r="A24" t="s">
        <v>27</v>
      </c>
      <c r="B24" s="9">
        <f>B22/(B22+B23)</f>
        <v>0.7885250157991766</v>
      </c>
    </row>
    <row r="25" spans="1:2" x14ac:dyDescent="0.25">
      <c r="A25" t="s">
        <v>28</v>
      </c>
      <c r="B25" s="9">
        <f>1-B24</f>
        <v>0.21147498420082345</v>
      </c>
    </row>
    <row r="26" spans="1:2" x14ac:dyDescent="0.25">
      <c r="A26" t="s">
        <v>29</v>
      </c>
      <c r="B26" s="11">
        <f>B24*B20+B25*B21*(1-B8)</f>
        <v>0.10212628045133212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17934000000</v>
      </c>
      <c r="C29" s="6" t="s">
        <v>32</v>
      </c>
    </row>
    <row r="30" spans="1:2" x14ac:dyDescent="0.25">
      <c r="A30" t="s">
        <v>33</v>
      </c>
      <c r="B30" s="10">
        <v>21210000000</v>
      </c>
    </row>
    <row r="31" spans="1:2" x14ac:dyDescent="0.25">
      <c r="A31" t="s">
        <v>34</v>
      </c>
      <c r="B31" s="12">
        <v>274000000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0.09098551243448205</v>
      </c>
      <c r="C5" s="5">
        <v>0.07413507904460337</v>
      </c>
      <c r="D5" s="5">
        <v>0.06799319416402795</v>
      </c>
      <c r="E5" s="5">
        <v>0.061851309283452525</v>
      </c>
      <c r="F5" s="5">
        <v>0.05570942440287711</v>
      </c>
      <c r="G5" s="5">
        <v>0.04956753952230168</v>
      </c>
      <c r="H5" s="5">
        <v>0.04342565464172626</v>
      </c>
      <c r="I5" s="5">
        <v>0.037283769761150845</v>
      </c>
      <c r="J5" s="5">
        <v>0.03114188488057542</v>
      </c>
      <c r="K5" s="5">
        <v>0.025</v>
      </c>
    </row>
    <row r="6" spans="1:11" x14ac:dyDescent="0.25">
      <c r="A6" t="s">
        <v>50</v>
      </c>
      <c r="B6" s="18">
        <f>Assumptions!B29*(1+B5)</f>
        <v>19565734180</v>
      </c>
      <c r="C6" s="18">
        <f>B6*(1+C5)</f>
        <v>21016241429.999996</v>
      </c>
      <c r="D6" s="18">
        <f>C6*(1+D5)</f>
        <v>22445202814.148075</v>
      </c>
      <c r="E6" s="18">
        <f>D6*(1+E5)</f>
        <v>23833467995.335766</v>
      </c>
      <c r="F6" s="18">
        <f>E6*(1+F5)</f>
        <v>25161216778.880314</v>
      </c>
      <c r="G6" s="18">
        <f>F6*(1+G5)</f>
        <v>26408396385.996662</v>
      </c>
      <c r="H6" s="18">
        <f>G6*(1+H5)</f>
        <v>27555198287.096764</v>
      </c>
      <c r="I6" s="18">
        <f>H6*(1+I5)</f>
        <v>28582559955.755737</v>
      </c>
      <c r="J6" s="18">
        <f>I6*(1+J5)</f>
        <v>29472674747.490025</v>
      </c>
      <c r="K6" s="18">
        <f>J6*(1+K5)</f>
        <v>30209491616.177273</v>
      </c>
    </row>
    <row r="7" spans="1:11" x14ac:dyDescent="0.25">
      <c r="A7" t="s">
        <v>4</v>
      </c>
      <c r="B7" s="9">
        <f>Assumptions!B7</f>
        <v>0.16084416470301052</v>
      </c>
      <c r="C7" s="9">
        <f>Assumptions!B7</f>
        <v>0.16084416470301052</v>
      </c>
      <c r="D7" s="9">
        <f>Assumptions!B7</f>
        <v>0.16084416470301052</v>
      </c>
      <c r="E7" s="9">
        <f>Assumptions!B7</f>
        <v>0.16084416470301052</v>
      </c>
      <c r="F7" s="9">
        <f>Assumptions!B7</f>
        <v>0.16084416470301052</v>
      </c>
      <c r="G7" s="9">
        <f>Assumptions!B7</f>
        <v>0.16084416470301052</v>
      </c>
      <c r="H7" s="9">
        <f>Assumptions!B7</f>
        <v>0.16084416470301052</v>
      </c>
      <c r="I7" s="9">
        <f>Assumptions!B7</f>
        <v>0.16084416470301052</v>
      </c>
      <c r="J7" s="9">
        <f>Assumptions!B7</f>
        <v>0.16084416470301052</v>
      </c>
      <c r="K7" s="9">
        <f>Assumptions!B7</f>
        <v>0.16084416470301052</v>
      </c>
    </row>
    <row r="8" spans="1:11" x14ac:dyDescent="0.25">
      <c r="A8" t="s">
        <v>51</v>
      </c>
      <c r="B8" s="18">
        <f>B6*B7</f>
        <v>3147034170.9832425</v>
      </c>
      <c r="C8" s="18">
        <f>C6*C7</f>
        <v>3380339798.0051527</v>
      </c>
      <c r="D8" s="18">
        <f>D6*D7</f>
        <v>3610179898.2313085</v>
      </c>
      <c r="E8" s="18">
        <f>E6*E7</f>
        <v>3833474251.685716</v>
      </c>
      <c r="F8" s="18">
        <f>F6*F7</f>
        <v>4047034895.710377</v>
      </c>
      <c r="G8" s="18">
        <f>G6*G7</f>
        <v>4247636457.851635</v>
      </c>
      <c r="H8" s="18">
        <f>H6*H7</f>
        <v>4432092851.713905</v>
      </c>
      <c r="I8" s="18">
        <f>I6*I7</f>
        <v>4597337981.1572485</v>
      </c>
      <c r="J8" s="18">
        <f>J6*J7</f>
        <v>4740507751.3235445</v>
      </c>
      <c r="K8" s="18">
        <f>K6*K7</f>
        <v>4859020445.106633</v>
      </c>
    </row>
    <row r="9" spans="1:11" x14ac:dyDescent="0.25">
      <c r="A9" t="s">
        <v>52</v>
      </c>
      <c r="B9" s="18">
        <f>B8*(1-Assumptions!B8)</f>
        <v>3097845053.801717</v>
      </c>
      <c r="C9" s="18">
        <f>C8*(1-Assumptions!B8)</f>
        <v>3327504041.7332406</v>
      </c>
      <c r="D9" s="18">
        <f>D8*(1-Assumptions!B8)</f>
        <v>3553751670.124397</v>
      </c>
      <c r="E9" s="18">
        <f>E8*(1-Assumptions!B8)</f>
        <v>3773555863.789847</v>
      </c>
      <c r="F9" s="18">
        <f>F8*(1-Assumptions!B8)</f>
        <v>3983778488.9136806</v>
      </c>
      <c r="G9" s="18">
        <f>G8*(1-Assumptions!B8)</f>
        <v>4181244586.6110044</v>
      </c>
      <c r="H9" s="18">
        <f>H8*(1-Assumptions!B8)</f>
        <v>4362817870.001761</v>
      </c>
      <c r="I9" s="18">
        <f>I8*(1-Assumptions!B8)</f>
        <v>4525480166.976741</v>
      </c>
      <c r="J9" s="18">
        <f>J8*(1-Assumptions!B8)</f>
        <v>4666412149.366057</v>
      </c>
      <c r="K9" s="18">
        <f>K8*(1-Assumptions!B8)</f>
        <v>4783072453.100209</v>
      </c>
    </row>
    <row r="10" spans="1:11" x14ac:dyDescent="0.25">
      <c r="A10" t="s">
        <v>53</v>
      </c>
      <c r="B10" s="18">
        <f>B6*Assumptions!B9</f>
        <v>2233882392.1694555</v>
      </c>
      <c r="C10" s="18">
        <f>C6*Assumptions!B9</f>
        <v>2399491439.8892856</v>
      </c>
      <c r="D10" s="18">
        <f>D6*Assumptions!B9</f>
        <v>2562640527.256601</v>
      </c>
      <c r="E10" s="18">
        <f>E6*Assumptions!B9</f>
        <v>2721143199.0902586</v>
      </c>
      <c r="F10" s="18">
        <f>F6*Assumptions!B9</f>
        <v>2872736520.4293804</v>
      </c>
      <c r="G10" s="18">
        <f>G6*Assumptions!B9</f>
        <v>3015131001.442923</v>
      </c>
      <c r="H10" s="18">
        <f>H6*Assumptions!B9</f>
        <v>3146065039.0111456</v>
      </c>
      <c r="I10" s="18">
        <f>I6*Assumptions!B9</f>
        <v>3263362203.579243</v>
      </c>
      <c r="J10" s="18">
        <f>J6*Assumptions!B9</f>
        <v>3364989453.6467285</v>
      </c>
      <c r="K10" s="18">
        <f>K6*Assumptions!B9</f>
        <v>3449114189.9878964</v>
      </c>
    </row>
    <row r="11" spans="1:11" x14ac:dyDescent="0.25">
      <c r="A11" t="s">
        <v>54</v>
      </c>
      <c r="B11" s="18">
        <f>-B6*B19</f>
        <v>-5266756713.075016</v>
      </c>
      <c r="C11" s="18">
        <f>-C6*C19</f>
        <v>-5358415270.59208</v>
      </c>
      <c r="D11" s="18">
        <f>-D6*D19</f>
        <v>-5403642291.312089</v>
      </c>
      <c r="E11" s="18">
        <f>-E6*E19</f>
        <v>-5399018598.803439</v>
      </c>
      <c r="F11" s="18">
        <f>-F6*F19</f>
        <v>-5342071856.13374</v>
      </c>
      <c r="G11" s="18">
        <f>-G6*G19</f>
        <v>-5231410805.829347</v>
      </c>
      <c r="H11" s="18">
        <f>-H6*H19</f>
        <v>-5066829483.145355</v>
      </c>
      <c r="I11" s="18">
        <f>-I6*I19</f>
        <v>-4849374981.916613</v>
      </c>
      <c r="J11" s="18">
        <f>-J6*J19</f>
        <v>-4581373682.040621</v>
      </c>
      <c r="K11" s="18">
        <f>-K6*K19</f>
        <v>-4266412547.3534164</v>
      </c>
    </row>
    <row r="12" spans="1:11" x14ac:dyDescent="0.25">
      <c r="A12" t="s">
        <v>55</v>
      </c>
      <c r="B12" s="18">
        <f>-(B6-Assumptions!B29)*Assumptions!B11</f>
        <v>22164760.464452535</v>
      </c>
      <c r="C12" s="18">
        <f>-(C6-B6)*Assumptions!B11</f>
        <v>19703053.439869527</v>
      </c>
      <c r="D12" s="18">
        <f>-(D6-C6)*Assumptions!B11</f>
        <v>19410383.860804282</v>
      </c>
      <c r="E12" s="18">
        <f>-(E6-D6)*Assumptions!B11</f>
        <v>18857584.513039347</v>
      </c>
      <c r="F12" s="18">
        <f>-(F6-E6)*Assumptions!B11</f>
        <v>18035556.34547849</v>
      </c>
      <c r="G12" s="18">
        <f>-(G6-F6)*Assumptions!B11</f>
        <v>16941140.03782398</v>
      </c>
      <c r="H12" s="18">
        <f>-(H6-G6)*Assumptions!B11</f>
        <v>15577653.36389689</v>
      </c>
      <c r="I12" s="18">
        <f>-(I6-H6)*Assumptions!B11</f>
        <v>13955229.703030676</v>
      </c>
      <c r="J12" s="18">
        <f>-(J6-I6)*Assumptions!B11</f>
        <v>12090928.403949061</v>
      </c>
      <c r="K12" s="18">
        <f>-(K6-J6)*Assumptions!B11</f>
        <v>10008596.743754448</v>
      </c>
    </row>
    <row r="13" spans="1:11" x14ac:dyDescent="0.25">
      <c r="A13" s="19" t="s">
        <v>56</v>
      </c>
      <c r="B13" s="20">
        <f>B9+B10+B11+B12</f>
        <v>87135493.36060885</v>
      </c>
      <c r="C13" s="20">
        <f>C9+C10+C11+C12</f>
        <v>388283264.4703156</v>
      </c>
      <c r="D13" s="20">
        <f>D9+D10+D11+D12</f>
        <v>732160289.929713</v>
      </c>
      <c r="E13" s="20">
        <f>E9+E10+E11+E12</f>
        <v>1114538048.5897062</v>
      </c>
      <c r="F13" s="20">
        <f>F9+F10+F11+F12</f>
        <v>1532478709.5547996</v>
      </c>
      <c r="G13" s="20">
        <f>G9+G10+G11+G12</f>
        <v>1981905922.2624047</v>
      </c>
      <c r="H13" s="20">
        <f>H9+H10+H11+H12</f>
        <v>2457631079.2314487</v>
      </c>
      <c r="I13" s="20">
        <f>I9+I10+I11+I12</f>
        <v>2953422618.3424025</v>
      </c>
      <c r="J13" s="20">
        <f>J9+J10+J11+J12</f>
        <v>3462118849.3761144</v>
      </c>
      <c r="K13" s="20">
        <f>K9+K10+K11+K12</f>
        <v>3975782692.478444</v>
      </c>
    </row>
    <row r="14" spans="1:11" x14ac:dyDescent="0.25">
      <c r="A14" t="s">
        <v>57</v>
      </c>
      <c r="B14" s="21">
        <f>1/(1+Assumptions!$B$26)^(1-0.5*Assumptions!$B$32)</f>
        <v>0.9525424099283462</v>
      </c>
      <c r="C14" s="21">
        <f>1/(1+Assumptions!$B$26)^(2-0.5*Assumptions!$B$32)</f>
        <v>0.8642770132822442</v>
      </c>
      <c r="D14" s="21">
        <f>1/(1+Assumptions!$B$26)^(3-0.5*Assumptions!$B$32)</f>
        <v>0.7841905493155591</v>
      </c>
      <c r="E14" s="21">
        <f>1/(1+Assumptions!$B$26)^(4-0.5*Assumptions!$B$32)</f>
        <v>0.7115251339387579</v>
      </c>
      <c r="F14" s="21">
        <f>1/(1+Assumptions!$B$26)^(5-0.5*Assumptions!$B$32)</f>
        <v>0.6455931108433246</v>
      </c>
      <c r="G14" s="21">
        <f>1/(1+Assumptions!$B$26)^(6-0.5*Assumptions!$B$32)</f>
        <v>0.5857705439878882</v>
      </c>
      <c r="H14" s="21">
        <f>1/(1+Assumptions!$B$26)^(7-0.5*Assumptions!$B$32)</f>
        <v>0.5314913130898296</v>
      </c>
      <c r="I14" s="21">
        <f>1/(1+Assumptions!$B$26)^(8-0.5*Assumptions!$B$32)</f>
        <v>0.48224175624609755</v>
      </c>
      <c r="J14" s="21">
        <f>1/(1+Assumptions!$B$26)^(9-0.5*Assumptions!$B$32)</f>
        <v>0.4375558089846243</v>
      </c>
      <c r="K14" s="21">
        <f>1/(1+Assumptions!$B$26)^(10-0.5*Assumptions!$B$32)</f>
        <v>0.39701059374561026</v>
      </c>
    </row>
    <row r="15" spans="1:11" x14ac:dyDescent="0.25">
      <c r="A15" s="19" t="s">
        <v>58</v>
      </c>
      <c r="B15" s="20">
        <f>B13*B14</f>
        <v>83000252.83600976</v>
      </c>
      <c r="C15" s="20">
        <f>C13*C14</f>
        <v>335584300.1238841</v>
      </c>
      <c r="D15" s="20">
        <f>D13*D14</f>
        <v>574153179.9470206</v>
      </c>
      <c r="E15" s="20">
        <f>E13*E14</f>
        <v>793021834.3026326</v>
      </c>
      <c r="F15" s="20">
        <f>F13*F14</f>
        <v>989357697.4026468</v>
      </c>
      <c r="G15" s="20">
        <f>G13*G14</f>
        <v>1160942110.216466</v>
      </c>
      <c r="H15" s="20">
        <f>H13*H14</f>
        <v>1306209569.3910975</v>
      </c>
      <c r="I15" s="20">
        <f>I13*I14</f>
        <v>1424263710.406388</v>
      </c>
      <c r="J15" s="20">
        <f>J13*J14</f>
        <v>1514870213.9396825</v>
      </c>
      <c r="K15" s="20">
        <f>K13*K14</f>
        <v>1578427847.344388</v>
      </c>
    </row>
    <row r="17" spans="1:2" x14ac:dyDescent="0.25">
      <c r="A17" s="22" t="s">
        <v>59</v>
      </c>
      <c r="B17" s="23">
        <f>SUM(B15:K15)</f>
        <v>9759830715.910217</v>
      </c>
    </row>
    <row r="19" spans="1:11" x14ac:dyDescent="0.25">
      <c r="A19" t="s">
        <v>7</v>
      </c>
      <c r="B19" s="9">
        <f>Assumptions!$B$10+($B$20-Assumptions!$B$10)*0/9</f>
        <v>0.26918267746163443</v>
      </c>
      <c r="C19" s="9">
        <f>Assumptions!$B$10+($B$20-Assumptions!$B$10)*1/9</f>
        <v>0.25496544129642124</v>
      </c>
      <c r="D19" s="9">
        <f>Assumptions!$B$10+($B$20-Assumptions!$B$10)*2/9</f>
        <v>0.24074820513120807</v>
      </c>
      <c r="E19" s="9">
        <f>Assumptions!$B$10+($B$20-Assumptions!$B$10)*3/9</f>
        <v>0.2265309689659949</v>
      </c>
      <c r="F19" s="9">
        <f>Assumptions!$B$10+($B$20-Assumptions!$B$10)*4/9</f>
        <v>0.2123137328007817</v>
      </c>
      <c r="G19" s="9">
        <f>Assumptions!$B$10+($B$20-Assumptions!$B$10)*5/9</f>
        <v>0.1980964966355685</v>
      </c>
      <c r="H19" s="9">
        <f>Assumptions!$B$10+($B$20-Assumptions!$B$10)*6/9</f>
        <v>0.18387926047035535</v>
      </c>
      <c r="I19" s="9">
        <f>Assumptions!$B$10+($B$20-Assumptions!$B$10)*7/9</f>
        <v>0.16966202430514216</v>
      </c>
      <c r="J19" s="9">
        <f>Assumptions!$B$10+($B$20-Assumptions!$B$10)*8/9</f>
        <v>0.15544478813992896</v>
      </c>
      <c r="K19" s="9">
        <f>Assumptions!$B$10+($B$20-Assumptions!$B$10)*9/9</f>
        <v>0.1412275519747158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0.1412275519747158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3975782692.478444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4783072453.100209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0.17087308740969995</v>
      </c>
    </row>
    <row r="7" spans="1:2" x14ac:dyDescent="0.25">
      <c r="A7" t="s">
        <v>66</v>
      </c>
      <c r="B7" s="18">
        <f>-MAX(B5,0)*B6</f>
        <v>-817298357.36552</v>
      </c>
    </row>
    <row r="8" spans="1:2" x14ac:dyDescent="0.25">
      <c r="A8" t="s">
        <v>67</v>
      </c>
      <c r="B8" s="18">
        <f>IF(OR(Assumptions!$B$33=0,Assumptions!B12&lt;=0),B5,MAX(B5+B7,0))</f>
        <v>3965774095.734689</v>
      </c>
    </row>
    <row r="9" spans="1:2" x14ac:dyDescent="0.25">
      <c r="A9" t="s">
        <v>68</v>
      </c>
      <c r="B9" s="18">
        <f>B8*(1+Assumptions!B12)/(Assumptions!B26-Assumptions!B12)</f>
        <v>52704712639.33287</v>
      </c>
    </row>
    <row r="10" spans="1:2" x14ac:dyDescent="0.25">
      <c r="A10" t="s">
        <v>69</v>
      </c>
      <c r="B10" s="18">
        <f>B9/(1+Assumptions!B26)^(10-0.5*Assumptions!B32)</f>
        <v>20924329258.133312</v>
      </c>
    </row>
    <row r="11" spans="1:2" x14ac:dyDescent="0.25">
      <c r="A11" t="s">
        <v>70</v>
      </c>
      <c r="B11" s="18">
        <f>Forecast!B17+B10</f>
        <v>30684159974.04353</v>
      </c>
    </row>
    <row r="12" spans="1:2" x14ac:dyDescent="0.25">
      <c r="A12" t="s">
        <v>71</v>
      </c>
      <c r="B12" s="18">
        <f>-Assumptions!B30</f>
        <v>-21210000000</v>
      </c>
    </row>
    <row r="13" spans="1:2" x14ac:dyDescent="0.25">
      <c r="A13" t="s">
        <v>72</v>
      </c>
      <c r="B13" s="18">
        <f>B11+B12</f>
        <v>9474159974.04353</v>
      </c>
    </row>
    <row r="14" spans="1:2" x14ac:dyDescent="0.25">
      <c r="A14" s="19" t="s">
        <v>73</v>
      </c>
      <c r="B14" s="24">
        <f>B13/Assumptions!B31</f>
        <v>34.57722618264062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8308134635.09453</v>
      </c>
    </row>
    <row r="18" spans="1:2" x14ac:dyDescent="0.25">
      <c r="A18" t="s">
        <v>68</v>
      </c>
      <c r="B18" s="18">
        <f>B17*Assumptions!B13</f>
        <v>129575464451.93526</v>
      </c>
    </row>
    <row r="19" spans="1:2" x14ac:dyDescent="0.25">
      <c r="A19" t="s">
        <v>69</v>
      </c>
      <c r="B19" s="18">
        <f>B18/(1+Assumptions!B26)^(10-0.5*Assumptions!B32)</f>
        <v>51442832076.92603</v>
      </c>
    </row>
    <row r="20" spans="1:2" x14ac:dyDescent="0.25">
      <c r="A20" t="s">
        <v>70</v>
      </c>
      <c r="B20" s="18">
        <f>Forecast!B17+B19</f>
        <v>61202662792.83625</v>
      </c>
    </row>
    <row r="21" spans="1:2" x14ac:dyDescent="0.25">
      <c r="A21" t="s">
        <v>71</v>
      </c>
      <c r="B21" s="18">
        <f>-Assumptions!B30</f>
        <v>-21210000000</v>
      </c>
    </row>
    <row r="22" spans="1:2" x14ac:dyDescent="0.25">
      <c r="A22" t="s">
        <v>72</v>
      </c>
      <c r="B22" s="18">
        <f>B20+B21</f>
        <v>39992662792.83625</v>
      </c>
    </row>
    <row r="23" spans="1:2" x14ac:dyDescent="0.25">
      <c r="A23" s="19" t="s">
        <v>73</v>
      </c>
      <c r="B23" s="25">
        <f>B22/Assumptions!B31</f>
        <v>145.95862333151916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307.18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34.57722618264062</v>
      </c>
    </row>
    <row r="29" spans="1:2" x14ac:dyDescent="0.25">
      <c r="A29" s="19" t="s">
        <v>81</v>
      </c>
      <c r="B29" s="11">
        <f>B28/B26-1</f>
        <v>-0.8874365968401569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0.082126</v>
      </c>
      <c r="B5" s="31">
        <v>77.79226737007008</v>
      </c>
      <c r="C5" s="31">
        <v>81.17835965387364</v>
      </c>
      <c r="D5" s="31">
        <v>85.38614536052275</v>
      </c>
      <c r="E5" s="31">
        <v>90.6520784926779</v>
      </c>
      <c r="F5" s="31">
        <v>97.31296275493092</v>
      </c>
    </row>
    <row r="6" spans="1:6" x14ac:dyDescent="0.25">
      <c r="A6" s="30">
        <v>0.092126</v>
      </c>
      <c r="B6" s="31">
        <v>52.616517825185625</v>
      </c>
      <c r="C6" s="31">
        <v>54.12625888489549</v>
      </c>
      <c r="D6" s="31">
        <v>56.045268752857766</v>
      </c>
      <c r="E6" s="31">
        <v>58.47236325696723</v>
      </c>
      <c r="F6" s="31">
        <v>61.54095397062664</v>
      </c>
    </row>
    <row r="7" spans="1:6" x14ac:dyDescent="0.25">
      <c r="A7" s="30">
        <v>0.102126</v>
      </c>
      <c r="B7" s="31">
        <v>33.48899290184692</v>
      </c>
      <c r="C7" s="31">
        <v>33.92887974991377</v>
      </c>
      <c r="D7" s="32">
        <v>34.57774665101142</v>
      </c>
      <c r="E7" s="31">
        <v>35.4790550586444</v>
      </c>
      <c r="F7" s="31">
        <v>36.689215642270526</v>
      </c>
    </row>
    <row r="8" spans="1:6" x14ac:dyDescent="0.25">
      <c r="A8" s="30">
        <v>0.112126</v>
      </c>
      <c r="B8" s="31">
        <v>18.52373365023347</v>
      </c>
      <c r="C8" s="31">
        <v>18.336541111337077</v>
      </c>
      <c r="D8" s="31">
        <v>18.255341203700798</v>
      </c>
      <c r="E8" s="31">
        <v>18.29949307630191</v>
      </c>
      <c r="F8" s="31">
        <v>18.493376013733897</v>
      </c>
    </row>
    <row r="9" spans="1:6" x14ac:dyDescent="0.25">
      <c r="A9" s="30">
        <v>0.122126</v>
      </c>
      <c r="B9" s="31">
        <v>6.5403560768593</v>
      </c>
      <c r="C9" s="31">
        <v>5.9820423266237075</v>
      </c>
      <c r="D9" s="31">
        <v>5.474711093170556</v>
      </c>
      <c r="E9" s="31">
        <v>5.026663374608283</v>
      </c>
      <c r="F9" s="31">
        <v>4.648105684760129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17934000000</v>
      </c>
      <c r="C5" s="18">
        <v>16485000000</v>
      </c>
      <c r="D5" s="18">
        <v>13900000000</v>
      </c>
      <c r="E5" s="18">
        <v>8840000000</v>
      </c>
      <c r="F5" s="6" t="s">
        <v>91</v>
      </c>
    </row>
    <row r="6" spans="1:6" x14ac:dyDescent="0.25">
      <c r="A6" t="s">
        <v>51</v>
      </c>
      <c r="B6" s="18">
        <v>4910000000</v>
      </c>
      <c r="C6" s="18">
        <v>4108000000</v>
      </c>
      <c r="D6" s="18">
        <v>2878000000</v>
      </c>
      <c r="E6" s="18">
        <v>-766000000</v>
      </c>
      <c r="F6" s="6" t="s">
        <v>92</v>
      </c>
    </row>
    <row r="7" spans="1:6" x14ac:dyDescent="0.25">
      <c r="A7" t="s">
        <v>93</v>
      </c>
      <c r="B7" s="18">
        <v>1718000000</v>
      </c>
      <c r="C7" s="18">
        <v>1600000000</v>
      </c>
      <c r="D7" s="18">
        <v>1455000000</v>
      </c>
      <c r="E7" s="18">
        <v>1407000000</v>
      </c>
      <c r="F7" s="6" t="s">
        <v>94</v>
      </c>
    </row>
    <row r="8" spans="1:6" x14ac:dyDescent="0.25">
      <c r="A8" t="s">
        <v>95</v>
      </c>
      <c r="B8" s="18">
        <v>5229000000</v>
      </c>
      <c r="C8" s="18">
        <v>3268000000</v>
      </c>
      <c r="D8" s="18">
        <v>3897000000</v>
      </c>
      <c r="E8" s="18">
        <v>2710000000</v>
      </c>
      <c r="F8" s="6" t="s">
        <v>96</v>
      </c>
    </row>
    <row r="9" spans="1:6" x14ac:dyDescent="0.25">
      <c r="A9" t="s">
        <v>97</v>
      </c>
      <c r="B9" s="18">
        <v>-383000000</v>
      </c>
      <c r="C9" s="18">
        <v>-204000000</v>
      </c>
      <c r="D9" s="18">
        <v>-1171000000</v>
      </c>
      <c r="E9" s="18">
        <v>-973000000</v>
      </c>
      <c r="F9" s="6" t="s">
        <v>98</v>
      </c>
    </row>
    <row r="10" spans="1:6" x14ac:dyDescent="0.25">
      <c r="A10" t="s">
        <v>99</v>
      </c>
      <c r="B10" s="18">
        <v>22035000000</v>
      </c>
      <c r="C10" s="18">
        <v>20820000000</v>
      </c>
      <c r="D10" s="18">
        <v>22130000000</v>
      </c>
      <c r="E10" s="18">
        <v>23994000000</v>
      </c>
      <c r="F10" s="6" t="s">
        <v>100</v>
      </c>
    </row>
    <row r="11" spans="1:6" x14ac:dyDescent="0.25">
      <c r="A11" t="s">
        <v>101</v>
      </c>
      <c r="B11" s="18">
        <v>825000000</v>
      </c>
      <c r="C11" s="18">
        <v>388000000</v>
      </c>
      <c r="D11" s="18">
        <v>497000000</v>
      </c>
      <c r="E11" s="18">
        <v>1935000000</v>
      </c>
      <c r="F11" s="6" t="s">
        <v>102</v>
      </c>
    </row>
    <row r="12" spans="1:6" x14ac:dyDescent="0.25">
      <c r="A12" t="s">
        <v>34</v>
      </c>
      <c r="B12" s="34">
        <v>274000000</v>
      </c>
      <c r="C12" s="34">
        <v>279000000</v>
      </c>
      <c r="D12" s="34">
        <v>283000000</v>
      </c>
      <c r="E12" s="34">
        <v>255011000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