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<sst xmlns="http://schemas.openxmlformats.org/spreadsheetml/2006/main" count="112" uniqueCount="100">
  <si>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Royal Caribbean Cruises Ltd. (RCL)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</si>
  <si>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</si>
  <si>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</si>
  <si>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</si>
  <si>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</si>
  <si>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</si>
  <si>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</si>
  <si>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</si>
  <si>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</si>
  <si>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</si>
  <si>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</si>
  <si>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</si>
  <si>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</si>
  <si>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</si>
  <si>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</si>
  <si>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</si>
  <si>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</si>
  <si>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</si>
  <si>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</si>
  <si>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</si>
  <si>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</si>
  <si>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</si>
  <si>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</si>
  <si>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</si>
  <si>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</si>
  <si>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</si>
  <si>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</si>
  <si>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</si>
  <si>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</si>
  <si>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</si>
  <si>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</si>
  <si>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</si>
  <si>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</si>
  <si>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</si>
  <si>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</si>
  <si>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</si>
  <si>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</si>
  <si>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</si>
  <si>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</si>
  <si>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</si>
  <si>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</si>
  <si>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</si>
  <si>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</si>
  <si>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</si>
  <si>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</si>
  <si>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</si>
  <si>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</si>
  <si>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</si>
  <si>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</si>
  <si>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</si>
  <si>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</si>
  <si>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</si>
  <si>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</si>
  <si>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</si>
  <si>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</si>
  <si>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</si>
  <si>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</si>
  <si>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</si>
  <si>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</si>
  <si>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</si>
  <si>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</si>
  <si>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</si>
  <si>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</si>
  <si>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</si>
  <si>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</si>
  <si>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</si>
  <si>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</si>
  <si>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</si>
  <si>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</si>
  <si>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</si>
  <si>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</si>
  <si>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</si>
  <si>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</si>
  <si>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</si>
  <si>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</si>
  <si>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</si>
  <si>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</si>
  <si>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</si>
  <si>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</si>
  <si>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</si>
  <si>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</si>
  <si>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</si>
  <si>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</si>
  <si>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</si>
  <si>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</si>
  <si>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</si>
  <si>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</si>
  <si>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</si>
  <si>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</si>
  <si>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</si>
  <si>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</si>
  <si>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</si>
  <si>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</si>
  <si>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</si>
  <si>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</si>
  <si>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</si>
  <si>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</si>
  <si>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</si>
  <si>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26.9% of revenue against depreciation of 11.4%.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</si>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</sst>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0.2659259431555814</v>
      </c>
    </row>
    <row r="7" spans="1:2" x14ac:dyDescent="0.25">
      <c r="A7" t="s">
        <v>5</v>
      </c>
      <c r="B7" s="6">
        <v>0.16084416470301052</v>
      </c>
    </row>
    <row r="8" spans="1:2" x14ac:dyDescent="0.25">
      <c r="A8" t="s">
        <v>6</v>
      </c>
      <c r="B8" s="6">
        <v>0.01563030920829086</v>
      </c>
    </row>
    <row r="9" spans="1:2" x14ac:dyDescent="0.25">
      <c r="A9" t="s">
        <v>7</v>
      </c>
      <c r="B9" s="6">
        <v>0.11417319542513868</v>
      </c>
    </row>
    <row r="10" spans="1:2" x14ac:dyDescent="0.25">
      <c r="A10" t="s">
        <v>8</v>
      </c>
      <c r="B10" s="6">
        <v>0.26918267746163443</v>
      </c>
    </row>
    <row r="11" spans="1:2" x14ac:dyDescent="0.25">
      <c r="A11" t="s">
        <v>9</v>
      </c>
      <c r="B11" s="6">
        <v>-0.23142292490118577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13.118948905250452</v>
      </c>
    </row>
    <row r="14" spans="1:3" x14ac:dyDescent="0.25">
      <c r="A14" t="s">
        <v>12</v>
      </c>
      <c r="B14" s="6">
        <v>0.14630741668556535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1.5025</v>
      </c>
      <c r="C19" s="8" t="s">
        <v>19</v>
      </c>
    </row>
    <row r="20" spans="1:2" x14ac:dyDescent="0.25">
      <c r="A20" t="s">
        <v>20</v>
      </c>
      <c r="B20" s="10">
        <f>B17+B19*B18</f>
        <v>0.1326175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65742393344</v>
      </c>
    </row>
    <row r="23" spans="1:2" x14ac:dyDescent="0.25">
      <c r="A23" t="s">
        <v>24</v>
      </c>
      <c r="B23" s="11">
        <v>22035000000</v>
      </c>
    </row>
    <row r="24" spans="1:2" x14ac:dyDescent="0.25">
      <c r="A24" t="s">
        <v>25</v>
      </c>
      <c r="B24" s="10">
        <f>B22/(B22+B23)</f>
        <v>0.7489672550010145</v>
      </c>
    </row>
    <row r="25" spans="1:2" x14ac:dyDescent="0.25">
      <c r="A25" t="s">
        <v>26</v>
      </c>
      <c r="B25" s="10">
        <f>1-B24</f>
        <v>0.25103274499898554</v>
      </c>
    </row>
    <row r="26" spans="1:2" x14ac:dyDescent="0.25">
      <c r="A26" t="s">
        <v>27</v>
      </c>
      <c r="B26" s="12">
        <f>B24*B20+B25*B21*(1-B8)</f>
        <v>0.11167667403824784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17934000000</v>
      </c>
      <c r="C29" s="8" t="s">
        <v>30</v>
      </c>
    </row>
    <row r="30" spans="1:2" x14ac:dyDescent="0.25">
      <c r="A30" t="s">
        <v>31</v>
      </c>
      <c r="B30" s="11">
        <v>21210000000</v>
      </c>
    </row>
    <row r="31" spans="1:2" x14ac:dyDescent="0.25">
      <c r="A31" t="s">
        <v>32</v>
      </c>
      <c r="B31" s="13">
        <v>274000000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0.2659259431555814</v>
      </c>
      <c r="C5" s="10">
        <f>Assumptions!B6</f>
        <v>0.2659259431555814</v>
      </c>
      <c r="D5" s="10">
        <f>Assumptions!B6</f>
        <v>0.2659259431555814</v>
      </c>
      <c r="E5" s="10">
        <f>Assumptions!B6</f>
        <v>0.2659259431555814</v>
      </c>
      <c r="F5" s="10">
        <f>Assumptions!B6</f>
        <v>0.2659259431555814</v>
      </c>
    </row>
    <row r="6" spans="1:6" x14ac:dyDescent="0.25">
      <c r="A6" t="s">
        <v>43</v>
      </c>
      <c r="B6" s="18">
        <f>Assumptions!B29*(1+B5)</f>
        <v>22703115864.552197</v>
      </c>
      <c r="C6" s="18">
        <f>B6*(1+C5)</f>
        <v>28740463363.403683</v>
      </c>
      <c r="D6" s="18">
        <f>C6*(1+D5)</f>
        <v>36383298190.04524</v>
      </c>
      <c r="E6" s="18">
        <f>D6*(1+E5)</f>
        <v>46058561076.34378</v>
      </c>
      <c r="F6" s="18">
        <f>E6*(1+F5)</f>
        <v>58306727370.95945</v>
      </c>
    </row>
    <row r="7" spans="1:6" x14ac:dyDescent="0.25">
      <c r="A7" t="s">
        <v>5</v>
      </c>
      <c r="B7" s="10">
        <f>Assumptions!B7</f>
        <v>0.16084416470301052</v>
      </c>
      <c r="C7" s="10">
        <f>Assumptions!B7</f>
        <v>0.16084416470301052</v>
      </c>
      <c r="D7" s="10">
        <f>Assumptions!B7</f>
        <v>0.16084416470301052</v>
      </c>
      <c r="E7" s="10">
        <f>Assumptions!B7</f>
        <v>0.16084416470301052</v>
      </c>
      <c r="F7" s="10">
        <f>Assumptions!B7</f>
        <v>0.16084416470301052</v>
      </c>
    </row>
    <row r="8" spans="1:6" x14ac:dyDescent="0.25">
      <c r="A8" t="s">
        <v>44</v>
      </c>
      <c r="B8" s="18">
        <f>B6*B7</f>
        <v>3651663707.3895645</v>
      </c>
      <c r="C8" s="18">
        <f>C6*C7</f>
        <v>4622735822.864141</v>
      </c>
      <c r="D8" s="18">
        <f>D6*D7</f>
        <v>5852041206.518382</v>
      </c>
      <c r="E8" s="18">
        <f>E6*E7</f>
        <v>7408250783.747108</v>
      </c>
      <c r="F8" s="18">
        <f>F6*F7</f>
        <v>9378296860.548134</v>
      </c>
    </row>
    <row r="9" spans="1:6" x14ac:dyDescent="0.25">
      <c r="A9" t="s">
        <v>45</v>
      </c>
      <c r="B9" s="18">
        <f>B8*(1-Assumptions!B8)</f>
        <v>3594587074.5183716</v>
      </c>
      <c r="C9" s="18">
        <f>C8*(1-Assumptions!B8)</f>
        <v>4550481032.564532</v>
      </c>
      <c r="D9" s="18">
        <f>D8*(1-Assumptions!B8)</f>
        <v>5760571992.96084</v>
      </c>
      <c r="E9" s="18">
        <f>E8*(1-Assumptions!B8)</f>
        <v>7292457533.304578</v>
      </c>
      <c r="F9" s="18">
        <f>F8*(1-Assumptions!B8)</f>
        <v>9231711180.770622</v>
      </c>
    </row>
    <row r="10" spans="1:6" x14ac:dyDescent="0.25">
      <c r="A10" t="s">
        <v>46</v>
      </c>
      <c r="B10" s="18">
        <f>B6*Assumptions!B9</f>
        <v>2592087284.3630843</v>
      </c>
      <c r="C10" s="18">
        <f>C6*Assumptions!B9</f>
        <v>3281390540.1989274</v>
      </c>
      <c r="D10" s="18">
        <f>D6*Assumptions!B9</f>
        <v>4153997414.46313</v>
      </c>
      <c r="E10" s="18">
        <f>E6*Assumptions!B9</f>
        <v>5258653094.770084</v>
      </c>
      <c r="F10" s="18">
        <f>F6*Assumptions!B9</f>
        <v>6657065378.724835</v>
      </c>
    </row>
    <row r="11" spans="1:6" x14ac:dyDescent="0.25">
      <c r="A11" t="s">
        <v>47</v>
      </c>
      <c r="B11" s="18">
        <f>-B6*Assumptions!B10</f>
        <v>-6111285515.14187</v>
      </c>
      <c r="C11" s="18">
        <f>-C6*Assumptions!B10</f>
        <v>-7736434879.649014</v>
      </c>
      <c r="D11" s="18">
        <f>-D6*Assumptions!B10</f>
        <v>-9793753621.681416</v>
      </c>
      <c r="E11" s="18">
        <f>-E6*Assumptions!B10</f>
        <v>-12398166790.560438</v>
      </c>
      <c r="F11" s="18">
        <f>-F6*Assumptions!B10</f>
        <v>-15695160987.740429</v>
      </c>
    </row>
    <row r="12" spans="1:6" x14ac:dyDescent="0.25">
      <c r="A12" t="s">
        <v>48</v>
      </c>
      <c r="B12" s="18">
        <f>-(B6-Assumptions!B29)*Assumptions!B11</f>
        <v>1103682742.5673165</v>
      </c>
      <c r="C12" s="18">
        <f>-(C6-B6)*Assumptions!B11</f>
        <v>1397180616.8290691</v>
      </c>
      <c r="D12" s="18">
        <f>-(D6-C6)*Assumptions!B11</f>
        <v>1768727190.1180367</v>
      </c>
      <c r="E12" s="18">
        <f>-(E6-D6)*Assumptions!B11</f>
        <v>2239077636.3350964</v>
      </c>
      <c r="F12" s="18">
        <f>-(F6-E6)*Assumptions!B11</f>
        <v>2834506468.576077</v>
      </c>
    </row>
    <row r="13" spans="1:6" x14ac:dyDescent="0.25">
      <c r="A13" s="19" t="s">
        <v>49</v>
      </c>
      <c r="B13" s="20">
        <f>B9+B10+B11+B12</f>
        <v>1179071586.3069034</v>
      </c>
      <c r="C13" s="20">
        <f>C9+C10+C11+C12</f>
        <v>1492617309.9435148</v>
      </c>
      <c r="D13" s="20">
        <f>D9+D10+D11+D12</f>
        <v>1889542975.8605905</v>
      </c>
      <c r="E13" s="20">
        <f>E9+E10+E11+E12</f>
        <v>2392021473.8493195</v>
      </c>
      <c r="F13" s="20">
        <f>F9+F10+F11+F12</f>
        <v>3028122040.3311048</v>
      </c>
    </row>
    <row r="14" spans="1:6" x14ac:dyDescent="0.25">
      <c r="A14" t="s">
        <v>50</v>
      </c>
      <c r="B14" s="21">
        <f>1/(1+Assumptions!$B$26)^(1-0.5*Assumptions!$B$32)</f>
        <v>0.9484419471371818</v>
      </c>
      <c r="C14" s="21">
        <f>1/(1+Assumptions!$B$26)^(2-0.5*Assumptions!$B$32)</f>
        <v>0.8531634865485629</v>
      </c>
      <c r="D14" s="21">
        <f>1/(1+Assumptions!$B$26)^(3-0.5*Assumptions!$B$32)</f>
        <v>0.7674564974448761</v>
      </c>
      <c r="E14" s="21">
        <f>1/(1+Assumptions!$B$26)^(4-0.5*Assumptions!$B$32)</f>
        <v>0.6903594501601203</v>
      </c>
      <c r="F14" s="21">
        <f>1/(1+Assumptions!$B$26)^(5-0.5*Assumptions!$B$32)</f>
        <v>0.6210074082532816</v>
      </c>
    </row>
    <row r="15" spans="1:6" x14ac:dyDescent="0.25">
      <c r="A15" s="19" t="s">
        <v>51</v>
      </c>
      <c r="B15" s="20">
        <f>B13*B14</f>
        <v>1118280951.131045</v>
      </c>
      <c r="C15" s="20">
        <f>C13*C14</f>
        <v>1273446588.234146</v>
      </c>
      <c r="D15" s="20">
        <f>D13*D14</f>
        <v>1450142034.0255368</v>
      </c>
      <c r="E15" s="20">
        <f>E13*E14</f>
        <v>1651354629.4578168</v>
      </c>
      <c r="F15" s="20">
        <f>F13*F14</f>
        <v>1880486220.1406584</v>
      </c>
    </row>
    <row r="17" spans="1:2" x14ac:dyDescent="0.25">
      <c r="A17" s="22" t="s">
        <v>52</v>
      </c>
      <c r="B17" s="23">
        <f>SUM(B15:F15)</f>
        <v>7373710422.989203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3028122040.3311048</v>
      </c>
    </row>
    <row r="5" spans="1:2" x14ac:dyDescent="0.25">
      <c r="A5" t="s">
        <v>56</v>
      </c>
      <c r="B5" s="18">
        <f>IF(Assumptions!$B$33=0,B4,B4-Forecast!F11-Forecast!F10-Forecast!F12)</f>
        <v>9231711180.770622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0.17087308740969995</v>
      </c>
    </row>
    <row r="7" spans="1:2" x14ac:dyDescent="0.25">
      <c r="A7" t="s">
        <v>58</v>
      </c>
      <c r="B7" s="18">
        <f>-MAX(Forecast!F9,0)*B6</f>
        <v>-1577450991.5329227</v>
      </c>
    </row>
    <row r="8" spans="1:2" x14ac:dyDescent="0.25">
      <c r="A8" t="s">
        <v>59</v>
      </c>
      <c r="B8" s="18">
        <f>IF(OR(Assumptions!$B$33=0,Assumptions!B12&lt;=0),B5,MAX(B5+B7,0))</f>
        <v>7654260189.2376995</v>
      </c>
    </row>
    <row r="9" spans="1:2" x14ac:dyDescent="0.25">
      <c r="A9" t="s">
        <v>60</v>
      </c>
      <c r="B9" s="18">
        <f>B8*(1+Assumptions!B12)/(Assumptions!B26-Assumptions!B12)</f>
        <v>90515894628.19725</v>
      </c>
    </row>
    <row r="10" spans="1:2" x14ac:dyDescent="0.25">
      <c r="A10" t="s">
        <v>61</v>
      </c>
      <c r="B10" s="18">
        <f>B9/(1+Assumptions!B26)^(5-0.5*Assumptions!B32)</f>
        <v>56211041128.78391</v>
      </c>
    </row>
    <row r="11" spans="1:2" x14ac:dyDescent="0.25">
      <c r="A11" t="s">
        <v>62</v>
      </c>
      <c r="B11" s="18">
        <f>Forecast!B17+B10</f>
        <v>63584751551.77312</v>
      </c>
    </row>
    <row r="12" spans="1:2" x14ac:dyDescent="0.25">
      <c r="A12" t="s">
        <v>63</v>
      </c>
      <c r="B12" s="18">
        <f>-Assumptions!B30</f>
        <v>-21210000000</v>
      </c>
    </row>
    <row r="13" spans="1:2" x14ac:dyDescent="0.25">
      <c r="A13" t="s">
        <v>64</v>
      </c>
      <c r="B13" s="18">
        <f>B11+B12</f>
        <v>42374751551.77312</v>
      </c>
    </row>
    <row r="14" spans="1:2" x14ac:dyDescent="0.25">
      <c r="A14" s="19" t="s">
        <v>65</v>
      </c>
      <c r="B14" s="24">
        <f>B13/Assumptions!B31</f>
        <v>154.65237792617927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16035362239.272968</v>
      </c>
    </row>
    <row r="18" spans="1:2" x14ac:dyDescent="0.25">
      <c r="A18" t="s">
        <v>60</v>
      </c>
      <c r="B18" s="18">
        <f>B17*Assumptions!B13</f>
        <v>210367097894.20453</v>
      </c>
    </row>
    <row r="19" spans="1:2" x14ac:dyDescent="0.25">
      <c r="A19" t="s">
        <v>61</v>
      </c>
      <c r="B19" s="18">
        <f>B18/(1+Assumptions!B26)^(5-0.5*Assumptions!B32)</f>
        <v>130639526245.04433</v>
      </c>
    </row>
    <row r="20" spans="1:2" x14ac:dyDescent="0.25">
      <c r="A20" t="s">
        <v>62</v>
      </c>
      <c r="B20" s="18">
        <f>Forecast!B17+B19</f>
        <v>138013236668.03354</v>
      </c>
    </row>
    <row r="21" spans="1:2" x14ac:dyDescent="0.25">
      <c r="A21" t="s">
        <v>63</v>
      </c>
      <c r="B21" s="18">
        <f>-Assumptions!B30</f>
        <v>-21210000000</v>
      </c>
    </row>
    <row r="22" spans="1:2" x14ac:dyDescent="0.25">
      <c r="A22" t="s">
        <v>64</v>
      </c>
      <c r="B22" s="18">
        <f>B20+B21</f>
        <v>116803236668.03354</v>
      </c>
    </row>
    <row r="23" spans="1:2" x14ac:dyDescent="0.25">
      <c r="A23" s="19" t="s">
        <v>65</v>
      </c>
      <c r="B23" s="25">
        <f>B22/Assumptions!B31</f>
        <v>426.28918491983046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245.81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154.65237792617927</v>
      </c>
    </row>
    <row r="29" spans="1:2" x14ac:dyDescent="0.25">
      <c r="A29" s="19" t="s">
        <v>73</v>
      </c>
      <c r="B29" s="12">
        <f>B28/B26-1</f>
        <v>-0.3708458649925582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0.091677</v>
      </c>
      <c r="B5" s="31">
        <v>220.6250007959082</v>
      </c>
      <c r="C5" s="31">
        <v>229.8205862008367</v>
      </c>
      <c r="D5" s="31">
        <v>240.27892712588212</v>
      </c>
      <c r="E5" s="31">
        <v>252.3071288582952</v>
      </c>
      <c r="F5" s="31">
        <v>266.32066702505887</v>
      </c>
    </row>
    <row r="6" spans="1:6" x14ac:dyDescent="0.25">
      <c r="A6" s="30">
        <v>0.101677</v>
      </c>
      <c r="B6" s="31">
        <v>179.2033694566775</v>
      </c>
      <c r="C6" s="31">
        <v>185.12025392204012</v>
      </c>
      <c r="D6" s="31">
        <v>191.71167806191588</v>
      </c>
      <c r="E6" s="31">
        <v>199.11880424523363</v>
      </c>
      <c r="F6" s="31">
        <v>207.52513698856777</v>
      </c>
    </row>
    <row r="7" spans="1:6" x14ac:dyDescent="0.25">
      <c r="A7" s="30">
        <v>0.111677</v>
      </c>
      <c r="B7" s="31">
        <v>146.65114774985082</v>
      </c>
      <c r="C7" s="31">
        <v>150.47206699688041</v>
      </c>
      <c r="D7" s="32">
        <v>154.65131397859292</v>
      </c>
      <c r="E7" s="31">
        <v>159.25469566659916</v>
      </c>
      <c r="F7" s="31">
        <v>164.36518375507592</v>
      </c>
    </row>
    <row r="8" spans="1:6" x14ac:dyDescent="0.25">
      <c r="A8" s="30">
        <v>0.121677</v>
      </c>
      <c r="B8" s="31">
        <v>120.45892024411962</v>
      </c>
      <c r="C8" s="31">
        <v>122.8950679560025</v>
      </c>
      <c r="D8" s="31">
        <v>125.51216335353885</v>
      </c>
      <c r="E8" s="31">
        <v>128.33981272058193</v>
      </c>
      <c r="F8" s="31">
        <v>131.414453745822</v>
      </c>
    </row>
    <row r="9" spans="1:6" x14ac:dyDescent="0.25">
      <c r="A9" s="30">
        <v>0.131677</v>
      </c>
      <c r="B9" s="31">
        <v>98.97845404977586</v>
      </c>
      <c r="C9" s="31">
        <v>100.47688481575324</v>
      </c>
      <c r="D9" s="31">
        <v>102.05391937481517</v>
      </c>
      <c r="E9" s="31">
        <v>103.72115382928843</v>
      </c>
      <c r="F9" s="31">
        <v>105.4925832186463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17934000000</v>
      </c>
      <c r="C5" s="18">
        <v>16485000000</v>
      </c>
      <c r="D5" s="18">
        <v>13900000000</v>
      </c>
      <c r="E5" s="18">
        <v>8840000000</v>
      </c>
      <c r="F5" s="8" t="s">
        <v>84</v>
      </c>
    </row>
    <row r="6" spans="1:6" x14ac:dyDescent="0.25">
      <c r="A6" t="s">
        <v>44</v>
      </c>
      <c r="B6" s="18">
        <v>4910000000</v>
      </c>
      <c r="C6" s="18">
        <v>4108000000</v>
      </c>
      <c r="D6" s="18">
        <v>2878000000</v>
      </c>
      <c r="E6" s="18">
        <v>-766000000</v>
      </c>
      <c r="F6" s="8" t="s">
        <v>85</v>
      </c>
    </row>
    <row r="7" spans="1:6" x14ac:dyDescent="0.25">
      <c r="A7" t="s">
        <v>86</v>
      </c>
      <c r="B7" s="18">
        <v>1718000000</v>
      </c>
      <c r="C7" s="18">
        <v>1600000000</v>
      </c>
      <c r="D7" s="18">
        <v>1455000000</v>
      </c>
      <c r="E7" s="18">
        <v>1407000000</v>
      </c>
      <c r="F7" s="8" t="s">
        <v>87</v>
      </c>
    </row>
    <row r="8" spans="1:6" x14ac:dyDescent="0.25">
      <c r="A8" t="s">
        <v>88</v>
      </c>
      <c r="B8" s="18">
        <v>5229000000</v>
      </c>
      <c r="C8" s="18">
        <v>3268000000</v>
      </c>
      <c r="D8" s="18">
        <v>3897000000</v>
      </c>
      <c r="E8" s="18">
        <v>2710000000</v>
      </c>
      <c r="F8" s="8" t="s">
        <v>89</v>
      </c>
    </row>
    <row r="9" spans="1:6" x14ac:dyDescent="0.25">
      <c r="A9" t="s">
        <v>90</v>
      </c>
      <c r="B9" s="18">
        <v>-383000000</v>
      </c>
      <c r="C9" s="18">
        <v>-204000000</v>
      </c>
      <c r="D9" s="18">
        <v>-1171000000</v>
      </c>
      <c r="E9" s="18">
        <v>-973000000</v>
      </c>
      <c r="F9" s="8" t="s">
        <v>91</v>
      </c>
    </row>
    <row r="10" spans="1:6" x14ac:dyDescent="0.25">
      <c r="A10" t="s">
        <v>92</v>
      </c>
      <c r="B10" s="18">
        <v>22035000000</v>
      </c>
      <c r="C10" s="18">
        <v>20820000000</v>
      </c>
      <c r="D10" s="18">
        <v>22130000000</v>
      </c>
      <c r="E10" s="18">
        <v>23994000000</v>
      </c>
      <c r="F10" s="8" t="s">
        <v>93</v>
      </c>
    </row>
    <row r="11" spans="1:6" x14ac:dyDescent="0.25">
      <c r="A11" t="s">
        <v>94</v>
      </c>
      <c r="B11" s="18">
        <v>825000000</v>
      </c>
      <c r="C11" s="18">
        <v>388000000</v>
      </c>
      <c r="D11" s="18">
        <v>497000000</v>
      </c>
      <c r="E11" s="18">
        <v>1935000000</v>
      </c>
      <c r="F11" s="8" t="s">
        <v>95</v>
      </c>
    </row>
    <row r="12" spans="1:6" x14ac:dyDescent="0.25">
      <c r="A12" t="s">
        <v>32</v>
      </c>
      <c r="B12" s="34">
        <v>274000000</v>
      </c>
      <c r="C12" s="34">
        <v>279000000</v>
      </c>
      <c r="D12" s="34">
        <v>283000000</v>
      </c>
      <c r="E12" s="34">
        <v>255011000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