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<sst xmlns="http://schemas.openxmlformats.org/spreadsheetml/2006/main" count="115" uniqueCount="103">
  <si>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Redox Limited (RDX.AX)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</si>
  <si>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</si>
  <si>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</si>
  <si>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</si>
  <si>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</si>
  <si>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</si>
  <si>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</si>
  <si>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</si>
  <si>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</si>
  <si>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</si>
  <si>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</si>
  <si>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</si>
  <si>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</si>
  <si>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</si>
  <si>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</si>
  <si>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</si>
  <si>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</si>
  <si>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</si>
  <si>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</si>
  <si>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Clamped from a reported -0.444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</si>
  <si>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</si>
  <si>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</si>
  <si>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</si>
  <si>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</si>
  <si>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</si>
  <si>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</si>
  <si>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</si>
  <si>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</si>
  <si>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</si>
  <si>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</si>
  <si>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</si>
  <si>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</si>
  <si>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</si>
  <si>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</si>
  <si>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</si>
  <si>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</si>
  <si>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</si>
  <si>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</si>
  <si>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</si>
  <si>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</si>
  <si>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</si>
  <si>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</si>
  <si>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</si>
  <si>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</si>
  <si>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</si>
  <si>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</si>
  <si>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</si>
  <si>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</si>
  <si>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</si>
  <si>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</si>
  <si>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</si>
  <si>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</si>
  <si>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</si>
  <si>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</si>
  <si>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</si>
  <si>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</si>
  <si>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</si>
  <si>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</si>
  <si>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</si>
  <si>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</si>
  <si>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</si>
  <si>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</si>
  <si>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</si>
  <si>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</si>
  <si>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</si>
  <si>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</si>
  <si>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</si>
  <si>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</si>
  <si>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</si>
  <si>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</si>
  <si>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</si>
  <si>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</si>
  <si>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</si>
  <si>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</si>
  <si>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</si>
  <si>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</si>
  <si>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</si>
  <si>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</si>
  <si>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</si>
  <si>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</si>
  <si>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</si>
  <si>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</si>
  <si>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</si>
  <si>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</si>
  <si>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</si>
  <si>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</si>
  <si>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</si>
  <si>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</si>
  <si>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</si>
  <si>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</si>
  <si>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</si>
  <si>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</si>
  <si>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</si>
  <si>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</si>
  <si>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</si>
  <si>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</si>
  <si>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</si>
  <si>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</si>
  <si>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</si>
  <si>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0.31%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</si>
  <si>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Beta of -0.444 is not usable in a cost of equity. Clamped to 0.30.</t>
  </si>
  <si>
    <t>Adjusted: Capital expenditure runs at 1.0% of revenue against depreciation of 0.8%.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</si>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</sst>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0.01890932709192983</v>
      </c>
    </row>
    <row r="7" spans="1:2" x14ac:dyDescent="0.25">
      <c r="A7" t="s">
        <v>5</v>
      </c>
      <c r="B7" s="6">
        <v>0.097561196088437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0.007698413413102641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0.19687666400425985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14.498275521884135</v>
      </c>
    </row>
    <row r="14" spans="1:3" x14ac:dyDescent="0.25">
      <c r="A14" t="s">
        <v>12</v>
      </c>
      <c r="B14" s="6">
        <v>0.15854864771415267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1837785088</v>
      </c>
    </row>
    <row r="23" spans="1:2" x14ac:dyDescent="0.25">
      <c r="A23" t="s">
        <v>24</v>
      </c>
      <c r="B23" s="11">
        <v>45487000</v>
      </c>
    </row>
    <row r="24" spans="1:2" x14ac:dyDescent="0.25">
      <c r="A24" t="s">
        <v>25</v>
      </c>
      <c r="B24" s="10">
        <f>B22/(B22+B23)</f>
        <v>0.9758468251667732</v>
      </c>
    </row>
    <row r="25" spans="1:2" x14ac:dyDescent="0.25">
      <c r="A25" t="s">
        <v>26</v>
      </c>
      <c r="B25" s="10">
        <f>1-B24</f>
        <v>0.024153174833226765</v>
      </c>
    </row>
    <row r="26" spans="1:2" x14ac:dyDescent="0.25">
      <c r="A26" t="s">
        <v>27</v>
      </c>
      <c r="B26" s="12">
        <f>B24*B20+B25*B21*(1-B8)</f>
        <v>0.07065772931597764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1330214000</v>
      </c>
      <c r="C29" s="8" t="s">
        <v>30</v>
      </c>
    </row>
    <row r="30" spans="1:2" x14ac:dyDescent="0.25">
      <c r="A30" t="s">
        <v>31</v>
      </c>
      <c r="B30" s="11">
        <v>-77187000</v>
      </c>
    </row>
    <row r="31" spans="1:2" x14ac:dyDescent="0.25">
      <c r="A31" t="s">
        <v>32</v>
      </c>
      <c r="B31" s="13">
        <v>525812357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0.01890932709192983</v>
      </c>
      <c r="C5" s="10">
        <f>Assumptions!B6</f>
        <v>0.01890932709192983</v>
      </c>
      <c r="D5" s="10">
        <f>Assumptions!B6</f>
        <v>0.01890932709192983</v>
      </c>
      <c r="E5" s="10">
        <f>Assumptions!B6</f>
        <v>0.01890932709192983</v>
      </c>
      <c r="F5" s="10">
        <f>Assumptions!B6</f>
        <v>0.01890932709192983</v>
      </c>
    </row>
    <row r="6" spans="1:6" x14ac:dyDescent="0.25">
      <c r="A6" t="s">
        <v>43</v>
      </c>
      <c r="B6" s="18">
        <f>Assumptions!B29*(1+B5)</f>
        <v>1355367451.6282644</v>
      </c>
      <c r="C6" s="18">
        <f>B6*(1+C5)</f>
        <v>1380996538.1008587</v>
      </c>
      <c r="D6" s="18">
        <f>C6*(1+D5)</f>
        <v>1407110253.3526306</v>
      </c>
      <c r="E6" s="18">
        <f>D6*(1+E5)</f>
        <v>1433717761.3876839</v>
      </c>
      <c r="F6" s="18">
        <f>E6*(1+F5)</f>
        <v>1460828399.4952729</v>
      </c>
    </row>
    <row r="7" spans="1:6" x14ac:dyDescent="0.25">
      <c r="A7" t="s">
        <v>5</v>
      </c>
      <c r="B7" s="10">
        <f>Assumptions!B7</f>
        <v>0.097561196088437</v>
      </c>
      <c r="C7" s="10">
        <f>Assumptions!B7</f>
        <v>0.097561196088437</v>
      </c>
      <c r="D7" s="10">
        <f>Assumptions!B7</f>
        <v>0.097561196088437</v>
      </c>
      <c r="E7" s="10">
        <f>Assumptions!B7</f>
        <v>0.097561196088437</v>
      </c>
      <c r="F7" s="10">
        <f>Assumptions!B7</f>
        <v>0.097561196088437</v>
      </c>
    </row>
    <row r="8" spans="1:6" x14ac:dyDescent="0.25">
      <c r="A8" t="s">
        <v>44</v>
      </c>
      <c r="B8" s="18">
        <f>B6*B7</f>
        <v>132231269.72019026</v>
      </c>
      <c r="C8" s="18">
        <f>C6*C7</f>
        <v>134731674.05111054</v>
      </c>
      <c r="D8" s="18">
        <f>D6*D7</f>
        <v>137279359.34538627</v>
      </c>
      <c r="E8" s="18">
        <f>E6*E7</f>
        <v>139875219.65421876</v>
      </c>
      <c r="F8" s="18">
        <f>F6*F7</f>
        <v>142520165.9347159</v>
      </c>
    </row>
    <row r="9" spans="1:6" x14ac:dyDescent="0.25">
      <c r="A9" t="s">
        <v>45</v>
      </c>
      <c r="B9" s="18">
        <f>B8*(1-Assumptions!B8)</f>
        <v>92561888.80413318</v>
      </c>
      <c r="C9" s="18">
        <f>C8*(1-Assumptions!B8)</f>
        <v>94312171.83577737</v>
      </c>
      <c r="D9" s="18">
        <f>D8*(1-Assumptions!B8)</f>
        <v>96095551.54177038</v>
      </c>
      <c r="E9" s="18">
        <f>E8*(1-Assumptions!B8)</f>
        <v>97912653.75795312</v>
      </c>
      <c r="F9" s="18">
        <f>F8*(1-Assumptions!B8)</f>
        <v>99764116.15430112</v>
      </c>
    </row>
    <row r="10" spans="1:6" x14ac:dyDescent="0.25">
      <c r="A10" t="s">
        <v>46</v>
      </c>
      <c r="B10" s="18">
        <f>B6*Assumptions!B9</f>
        <v>10434178.969297776</v>
      </c>
      <c r="C10" s="18">
        <f>C6*Assumptions!B9</f>
        <v>10631482.272363963</v>
      </c>
      <c r="D10" s="18">
        <f>D6*Assumptions!B9</f>
        <v>10832516.448124146</v>
      </c>
      <c r="E10" s="18">
        <f>E6*Assumptions!B9</f>
        <v>11037352.044870438</v>
      </c>
      <c r="F10" s="18">
        <f>F6*Assumptions!B9</f>
        <v>11246060.944915673</v>
      </c>
    </row>
    <row r="11" spans="1:6" x14ac:dyDescent="0.25">
      <c r="A11" t="s">
        <v>47</v>
      </c>
      <c r="B11" s="18">
        <f>-B6*Assumptions!B10</f>
        <v>-13553674.516282644</v>
      </c>
      <c r="C11" s="18">
        <f>-C6*Assumptions!B10</f>
        <v>-13809965.381008588</v>
      </c>
      <c r="D11" s="18">
        <f>-D6*Assumptions!B10</f>
        <v>-14071102.533526307</v>
      </c>
      <c r="E11" s="18">
        <f>-E6*Assumptions!B10</f>
        <v>-14337177.613876838</v>
      </c>
      <c r="F11" s="18">
        <f>-F6*Assumptions!B10</f>
        <v>-14608283.994952729</v>
      </c>
    </row>
    <row r="12" spans="1:6" x14ac:dyDescent="0.25">
      <c r="A12" t="s">
        <v>48</v>
      </c>
      <c r="B12" s="18">
        <f>-(B6-Assumptions!B29)*Assumptions!B11</f>
        <v>-4952127.644765219</v>
      </c>
      <c r="C12" s="18">
        <f>-(C6-B6)*Assumptions!B11</f>
        <v>-5045769.046201061</v>
      </c>
      <c r="D12" s="18">
        <f>-(D6-C6)*Assumptions!B11</f>
        <v>-5141181.143526018</v>
      </c>
      <c r="E12" s="18">
        <f>-(E6-D6)*Assumptions!B11</f>
        <v>-5238397.419407823</v>
      </c>
      <c r="F12" s="18">
        <f>-(F6-E6)*Assumptions!B11</f>
        <v>-5337451.989648884</v>
      </c>
    </row>
    <row r="13" spans="1:6" x14ac:dyDescent="0.25">
      <c r="A13" s="19" t="s">
        <v>49</v>
      </c>
      <c r="B13" s="20">
        <f>B9+B10+B11+B12</f>
        <v>84490265.6123831</v>
      </c>
      <c r="C13" s="20">
        <f>C9+C10+C11+C12</f>
        <v>86087919.68093167</v>
      </c>
      <c r="D13" s="20">
        <f>D9+D10+D11+D12</f>
        <v>87715784.3128422</v>
      </c>
      <c r="E13" s="20">
        <f>E9+E10+E11+E12</f>
        <v>89374430.7695389</v>
      </c>
      <c r="F13" s="20">
        <f>F9+F10+F11+F12</f>
        <v>91064441.11461519</v>
      </c>
    </row>
    <row r="14" spans="1:6" x14ac:dyDescent="0.25">
      <c r="A14" t="s">
        <v>50</v>
      </c>
      <c r="B14" s="21">
        <f>1/(1+Assumptions!$B$26)^(1-0.5*Assumptions!$B$32)</f>
        <v>0.9664394993557397</v>
      </c>
      <c r="C14" s="21">
        <f>1/(1+Assumptions!$B$26)^(2-0.5*Assumptions!$B$32)</f>
        <v>0.9026596202440711</v>
      </c>
      <c r="D14" s="21">
        <f>1/(1+Assumptions!$B$26)^(3-0.5*Assumptions!$B$32)</f>
        <v>0.8430888747431571</v>
      </c>
      <c r="E14" s="21">
        <f>1/(1+Assumptions!$B$26)^(4-0.5*Assumptions!$B$32)</f>
        <v>0.7874494823679927</v>
      </c>
      <c r="F14" s="21">
        <f>1/(1+Assumptions!$B$26)^(5-0.5*Assumptions!$B$32)</f>
        <v>0.7354819946717042</v>
      </c>
    </row>
    <row r="15" spans="1:6" x14ac:dyDescent="0.25">
      <c r="A15" s="19" t="s">
        <v>51</v>
      </c>
      <c r="B15" s="20">
        <f>B13*B14</f>
        <v>81654729.998865</v>
      </c>
      <c r="C15" s="20">
        <f>C13*C14</f>
        <v>77708088.88679187</v>
      </c>
      <c r="D15" s="20">
        <f>D13*D14</f>
        <v>73952201.8935276</v>
      </c>
      <c r="E15" s="20">
        <f>E13*E14</f>
        <v>70377849.2464074</v>
      </c>
      <c r="F15" s="20">
        <f>F13*F14</f>
        <v>66976256.79464112</v>
      </c>
    </row>
    <row r="17" spans="1:2" x14ac:dyDescent="0.25">
      <c r="A17" s="22" t="s">
        <v>52</v>
      </c>
      <c r="B17" s="23">
        <f>SUM(B15:F15)</f>
        <v>370669126.820233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91064441.11461519</v>
      </c>
    </row>
    <row r="5" spans="1:2" x14ac:dyDescent="0.25">
      <c r="A5" t="s">
        <v>56</v>
      </c>
      <c r="B5" s="18">
        <f>IF(Assumptions!$B$33=0,B4,B4-Forecast!F11-Forecast!F10-Forecast!F12)</f>
        <v>99764116.15430112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0.1576803104941803</v>
      </c>
    </row>
    <row r="7" spans="1:2" x14ac:dyDescent="0.25">
      <c r="A7" t="s">
        <v>58</v>
      </c>
      <c r="B7" s="18">
        <f>-MAX(Forecast!F9,0)*B6</f>
        <v>-15730836.81138767</v>
      </c>
    </row>
    <row r="8" spans="1:2" x14ac:dyDescent="0.25">
      <c r="A8" t="s">
        <v>59</v>
      </c>
      <c r="B8" s="18">
        <f>IF(OR(Assumptions!$B$33=0,Assumptions!B12&lt;=0),B5,MAX(B5+B7,0))</f>
        <v>84033279.34291345</v>
      </c>
    </row>
    <row r="9" spans="1:2" x14ac:dyDescent="0.25">
      <c r="A9" t="s">
        <v>60</v>
      </c>
      <c r="B9" s="18">
        <f>B8*(1+Assumptions!B12)/(Assumptions!B26-Assumptions!B12)</f>
        <v>1886517630.572228</v>
      </c>
    </row>
    <row r="10" spans="1:2" x14ac:dyDescent="0.25">
      <c r="A10" t="s">
        <v>61</v>
      </c>
      <c r="B10" s="18">
        <f>B9/(1+Assumptions!B26)^(5-0.5*Assumptions!B32)</f>
        <v>1387499749.9165993</v>
      </c>
    </row>
    <row r="11" spans="1:2" x14ac:dyDescent="0.25">
      <c r="A11" t="s">
        <v>62</v>
      </c>
      <c r="B11" s="18">
        <f>Forecast!B17+B10</f>
        <v>1758168876.7368321</v>
      </c>
    </row>
    <row r="12" spans="1:2" x14ac:dyDescent="0.25">
      <c r="A12" t="s">
        <v>63</v>
      </c>
      <c r="B12" s="18">
        <f>-Assumptions!B30</f>
        <v>77187000</v>
      </c>
    </row>
    <row r="13" spans="1:2" x14ac:dyDescent="0.25">
      <c r="A13" t="s">
        <v>64</v>
      </c>
      <c r="B13" s="18">
        <f>B11+B12</f>
        <v>1835355876.7368321</v>
      </c>
    </row>
    <row r="14" spans="1:2" x14ac:dyDescent="0.25">
      <c r="A14" s="19" t="s">
        <v>65</v>
      </c>
      <c r="B14" s="24">
        <f>B13/Assumptions!B31</f>
        <v>3.49051491906424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153766226.87963158</v>
      </c>
    </row>
    <row r="18" spans="1:2" x14ac:dyDescent="0.25">
      <c r="A18" t="s">
        <v>60</v>
      </c>
      <c r="B18" s="18">
        <f>B17*Assumptions!B13</f>
        <v>2229345123.261445</v>
      </c>
    </row>
    <row r="19" spans="1:2" x14ac:dyDescent="0.25">
      <c r="A19" t="s">
        <v>61</v>
      </c>
      <c r="B19" s="18">
        <f>B18/(1+Assumptions!B26)^(5-0.5*Assumptions!B32)</f>
        <v>1639643198.0679638</v>
      </c>
    </row>
    <row r="20" spans="1:2" x14ac:dyDescent="0.25">
      <c r="A20" t="s">
        <v>62</v>
      </c>
      <c r="B20" s="18">
        <f>Forecast!B17+B19</f>
        <v>2010312324.888197</v>
      </c>
    </row>
    <row r="21" spans="1:2" x14ac:dyDescent="0.25">
      <c r="A21" t="s">
        <v>63</v>
      </c>
      <c r="B21" s="18">
        <f>-Assumptions!B30</f>
        <v>77187000</v>
      </c>
    </row>
    <row r="22" spans="1:2" x14ac:dyDescent="0.25">
      <c r="A22" t="s">
        <v>64</v>
      </c>
      <c r="B22" s="18">
        <f>B20+B21</f>
        <v>2087499324.888197</v>
      </c>
    </row>
    <row r="23" spans="1:2" x14ac:dyDescent="0.25">
      <c r="A23" s="19" t="s">
        <v>65</v>
      </c>
      <c r="B23" s="25">
        <f>B22/Assumptions!B31</f>
        <v>3.970046152582521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3.49051491906424</v>
      </c>
    </row>
    <row r="29" spans="1:2" x14ac:dyDescent="0.25">
      <c r="A29" s="19" t="s">
        <v>73</v>
      </c>
      <c r="B29" s="12">
        <f>B28/B26-1</f>
        <v>-0.0027100231245028583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0.050658</v>
      </c>
      <c r="B5" s="31">
        <v>4.799483996519607</v>
      </c>
      <c r="C5" s="31">
        <v>5.301003106252917</v>
      </c>
      <c r="D5" s="31">
        <v>5.9961182389568615</v>
      </c>
      <c r="E5" s="31">
        <v>7.025401586739077</v>
      </c>
      <c r="F5" s="31">
        <v>8.708978531268615</v>
      </c>
    </row>
    <row r="6" spans="1:6" x14ac:dyDescent="0.25">
      <c r="A6" s="30">
        <v>0.060658</v>
      </c>
      <c r="B6" s="31">
        <v>3.7976821593168775</v>
      </c>
      <c r="C6" s="31">
        <v>4.05902568583893</v>
      </c>
      <c r="D6" s="31">
        <v>4.392373533068912</v>
      </c>
      <c r="E6" s="31">
        <v>4.8329551618529</v>
      </c>
      <c r="F6" s="31">
        <v>5.443460833447031</v>
      </c>
    </row>
    <row r="7" spans="1:6" x14ac:dyDescent="0.25">
      <c r="A7" s="30">
        <v>0.070658</v>
      </c>
      <c r="B7" s="31">
        <v>3.155781542909896</v>
      </c>
      <c r="C7" s="31">
        <v>3.3070547148704503</v>
      </c>
      <c r="D7" s="32">
        <v>3.4904958450507624</v>
      </c>
      <c r="E7" s="31">
        <v>3.7179726931364145</v>
      </c>
      <c r="F7" s="31">
        <v>4.008009454779996</v>
      </c>
    </row>
    <row r="8" spans="1:6" x14ac:dyDescent="0.25">
      <c r="A8" s="30">
        <v>0.080658</v>
      </c>
      <c r="B8" s="31">
        <v>2.709340553493303</v>
      </c>
      <c r="C8" s="31">
        <v>2.8027582448319395</v>
      </c>
      <c r="D8" s="31">
        <v>2.9122018964065415</v>
      </c>
      <c r="E8" s="31">
        <v>3.04241684762134</v>
      </c>
      <c r="F8" s="31">
        <v>3.200227083201966</v>
      </c>
    </row>
    <row r="9" spans="1:6" x14ac:dyDescent="0.25">
      <c r="A9" s="30">
        <v>0.090658</v>
      </c>
      <c r="B9" s="31">
        <v>2.380856934331118</v>
      </c>
      <c r="C9" s="31">
        <v>2.440989427818022</v>
      </c>
      <c r="D9" s="31">
        <v>2.5096636756311512</v>
      </c>
      <c r="E9" s="31">
        <v>2.588991951747448</v>
      </c>
      <c r="F9" s="31">
        <v>2.681845549144517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1330214000</v>
      </c>
      <c r="C5" s="18">
        <v>1243797000</v>
      </c>
      <c r="D5" s="18">
        <v>1137328000</v>
      </c>
      <c r="E5" s="18">
        <v>1257520000</v>
      </c>
      <c r="F5" s="8" t="s">
        <v>84</v>
      </c>
    </row>
    <row r="6" spans="1:6" x14ac:dyDescent="0.25">
      <c r="A6" t="s">
        <v>44</v>
      </c>
      <c r="B6" s="18">
        <v>109769000</v>
      </c>
      <c r="C6" s="18">
        <v>101695000</v>
      </c>
      <c r="D6" s="18">
        <v>143645000</v>
      </c>
      <c r="E6" s="18">
        <v>125328000</v>
      </c>
      <c r="F6" s="8" t="s">
        <v>85</v>
      </c>
    </row>
    <row r="7" spans="1:6" x14ac:dyDescent="0.25">
      <c r="A7" t="s">
        <v>86</v>
      </c>
      <c r="B7" s="18">
        <v>11666000</v>
      </c>
      <c r="C7" s="18">
        <v>10483000</v>
      </c>
      <c r="D7" s="18">
        <v>8417000</v>
      </c>
      <c r="E7" s="18">
        <v>7790000</v>
      </c>
      <c r="F7" s="8" t="s">
        <v>87</v>
      </c>
    </row>
    <row r="8" spans="1:6" x14ac:dyDescent="0.25">
      <c r="A8" t="s">
        <v>88</v>
      </c>
      <c r="B8" s="18">
        <v>3393000</v>
      </c>
      <c r="C8" s="18">
        <v>5118000</v>
      </c>
      <c r="D8" s="18">
        <v>3825000</v>
      </c>
      <c r="E8" s="18">
        <v>3111000</v>
      </c>
      <c r="F8" s="8" t="s">
        <v>89</v>
      </c>
    </row>
    <row r="9" spans="1:6" x14ac:dyDescent="0.25">
      <c r="A9" t="s">
        <v>90</v>
      </c>
      <c r="B9" s="18">
        <v>16677000</v>
      </c>
      <c r="C9" s="18">
        <v>43772000</v>
      </c>
      <c r="D9" s="18">
        <v>-23663000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45487000</v>
      </c>
      <c r="C10" s="18">
        <v>49993000</v>
      </c>
      <c r="D10" s="18">
        <v>47042000</v>
      </c>
      <c r="E10" s="18">
        <v>217864000</v>
      </c>
      <c r="F10" s="8" t="s">
        <v>93</v>
      </c>
    </row>
    <row r="11" spans="1:6" x14ac:dyDescent="0.25">
      <c r="A11" t="s">
        <v>94</v>
      </c>
      <c r="B11" s="18">
        <v>122674000</v>
      </c>
      <c r="C11" s="18">
        <v>123830000</v>
      </c>
      <c r="D11" s="18">
        <v>179288000</v>
      </c>
      <c r="E11" s="18">
        <v>35028000</v>
      </c>
      <c r="F11" s="8" t="s">
        <v>95</v>
      </c>
    </row>
    <row r="12" spans="1:6" x14ac:dyDescent="0.25">
      <c r="A12" t="s">
        <v>32</v>
      </c>
      <c r="B12" s="34">
        <v>525812357</v>
      </c>
      <c r="C12" s="34">
        <v>525927694</v>
      </c>
      <c r="D12" s="34">
        <v>524933101</v>
      </c>
      <c r="E12" s="34">
        <v>430570044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