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<sst xmlns="http://schemas.openxmlformats.org/spreadsheetml/2006/main" count="112" uniqueCount="100">
  <si>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REA Group Limited (REA.AX)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</si>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</sst>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0.1304704227961908</v>
      </c>
    </row>
    <row r="7" spans="1:2" x14ac:dyDescent="0.25">
      <c r="A7" t="s">
        <v>5</v>
      </c>
      <c r="B7" s="6">
        <v>0.42647612681606933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0.06777564374058714</v>
      </c>
    </row>
    <row r="10" spans="1:2" x14ac:dyDescent="0.25">
      <c r="A10" t="s">
        <v>8</v>
      </c>
      <c r="B10" s="6">
        <v>0.07487477025700605</v>
      </c>
    </row>
    <row r="11" spans="1:2" x14ac:dyDescent="0.25">
      <c r="A11" t="s">
        <v>9</v>
      </c>
      <c r="B11" s="6">
        <v>0.10930383864671438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18.163578315467074</v>
      </c>
    </row>
    <row r="14" spans="1:3" x14ac:dyDescent="0.25">
      <c r="A14" t="s">
        <v>12</v>
      </c>
      <c r="B14" s="6">
        <v>0.2887688250857522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0.78694</v>
      </c>
      <c r="C19" s="8" t="s">
        <v>19</v>
      </c>
    </row>
    <row r="20" spans="1:2" x14ac:dyDescent="0.25">
      <c r="A20" t="s">
        <v>20</v>
      </c>
      <c r="B20" s="10">
        <f>B17+B19*B18</f>
        <v>0.10069639999999999</v>
      </c>
    </row>
    <row r="21" spans="1:3" x14ac:dyDescent="0.25">
      <c r="A21" t="s">
        <v>21</v>
      </c>
      <c r="B21" s="6">
        <v>0.10799726589200273</v>
      </c>
      <c r="C21" s="8" t="s">
        <v>22</v>
      </c>
    </row>
    <row r="22" spans="1:2" x14ac:dyDescent="0.25">
      <c r="A22" t="s">
        <v>23</v>
      </c>
      <c r="B22" s="11">
        <v>20453388288</v>
      </c>
    </row>
    <row r="23" spans="1:2" x14ac:dyDescent="0.25">
      <c r="A23" t="s">
        <v>24</v>
      </c>
      <c r="B23" s="11">
        <v>75600000</v>
      </c>
    </row>
    <row r="24" spans="1:2" x14ac:dyDescent="0.25">
      <c r="A24" t="s">
        <v>25</v>
      </c>
      <c r="B24" s="10">
        <f>B22/(B22+B23)</f>
        <v>0.9963174025461259</v>
      </c>
    </row>
    <row r="25" spans="1:2" x14ac:dyDescent="0.25">
      <c r="A25" t="s">
        <v>26</v>
      </c>
      <c r="B25" s="10">
        <f>1-B24</f>
        <v>0.0036825974538741146</v>
      </c>
    </row>
    <row r="26" spans="1:2" x14ac:dyDescent="0.25">
      <c r="A26" t="s">
        <v>27</v>
      </c>
      <c r="B26" s="12">
        <f>B24*B20+B25*B21*(1-B8)</f>
        <v>0.10060397301322518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2011600000</v>
      </c>
      <c r="C29" s="8" t="s">
        <v>30</v>
      </c>
    </row>
    <row r="30" spans="1:2" x14ac:dyDescent="0.25">
      <c r="A30" t="s">
        <v>31</v>
      </c>
      <c r="B30" s="11">
        <v>-290000000</v>
      </c>
    </row>
    <row r="31" spans="1:2" x14ac:dyDescent="0.25">
      <c r="A31" t="s">
        <v>32</v>
      </c>
      <c r="B31" s="13">
        <v>131942783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0.1304704227961908</v>
      </c>
      <c r="C5" s="10">
        <f>Assumptions!B6</f>
        <v>0.1304704227961908</v>
      </c>
      <c r="D5" s="10">
        <f>Assumptions!B6</f>
        <v>0.1304704227961908</v>
      </c>
      <c r="E5" s="10">
        <f>Assumptions!B6</f>
        <v>0.1304704227961908</v>
      </c>
      <c r="F5" s="10">
        <f>Assumptions!B6</f>
        <v>0.1304704227961908</v>
      </c>
    </row>
    <row r="6" spans="1:6" x14ac:dyDescent="0.25">
      <c r="A6" t="s">
        <v>43</v>
      </c>
      <c r="B6" s="18">
        <f>Assumptions!B29*(1+B5)</f>
        <v>2274054302.4968176</v>
      </c>
      <c r="C6" s="18">
        <f>B6*(1+C5)</f>
        <v>2570751128.805074</v>
      </c>
      <c r="D6" s="18">
        <f>C6*(1+D5)</f>
        <v>2906158115.484057</v>
      </c>
      <c r="E6" s="18">
        <f>D6*(1+E5)</f>
        <v>3285325793.523843</v>
      </c>
      <c r="F6" s="18">
        <f>E6*(1+F5)</f>
        <v>3713963638.82813</v>
      </c>
    </row>
    <row r="7" spans="1:6" x14ac:dyDescent="0.25">
      <c r="A7" t="s">
        <v>5</v>
      </c>
      <c r="B7" s="10">
        <f>Assumptions!B7</f>
        <v>0.42647612681606933</v>
      </c>
      <c r="C7" s="10">
        <f>Assumptions!B7</f>
        <v>0.42647612681606933</v>
      </c>
      <c r="D7" s="10">
        <f>Assumptions!B7</f>
        <v>0.42647612681606933</v>
      </c>
      <c r="E7" s="10">
        <f>Assumptions!B7</f>
        <v>0.42647612681606933</v>
      </c>
      <c r="F7" s="10">
        <f>Assumptions!B7</f>
        <v>0.42647612681606933</v>
      </c>
    </row>
    <row r="8" spans="1:6" x14ac:dyDescent="0.25">
      <c r="A8" t="s">
        <v>44</v>
      </c>
      <c r="B8" s="18">
        <f>B6*B7</f>
        <v>969829871.0982609</v>
      </c>
      <c r="C8" s="18">
        <f>C6*C7</f>
        <v>1096363984.4208262</v>
      </c>
      <c r="D8" s="18">
        <f>D6*D7</f>
        <v>1239407057.0067277</v>
      </c>
      <c r="E8" s="18">
        <f>E6*E7</f>
        <v>1401113019.750978</v>
      </c>
      <c r="F8" s="18">
        <f>F6*F7</f>
        <v>1583916827.8231359</v>
      </c>
    </row>
    <row r="9" spans="1:6" x14ac:dyDescent="0.25">
      <c r="A9" t="s">
        <v>45</v>
      </c>
      <c r="B9" s="18">
        <f>B8*(1-Assumptions!B8)</f>
        <v>678880909.7687826</v>
      </c>
      <c r="C9" s="18">
        <f>C8*(1-Assumptions!B8)</f>
        <v>767454789.0945783</v>
      </c>
      <c r="D9" s="18">
        <f>D8*(1-Assumptions!B8)</f>
        <v>867584939.9047093</v>
      </c>
      <c r="E9" s="18">
        <f>E8*(1-Assumptions!B8)</f>
        <v>980779113.8256845</v>
      </c>
      <c r="F9" s="18">
        <f>F8*(1-Assumptions!B8)</f>
        <v>1108741779.476195</v>
      </c>
    </row>
    <row r="10" spans="1:6" x14ac:dyDescent="0.25">
      <c r="A10" t="s">
        <v>46</v>
      </c>
      <c r="B10" s="18">
        <f>B6*Assumptions!B9</f>
        <v>154125494.2527737</v>
      </c>
      <c r="C10" s="18">
        <f>C6*Assumptions!B9</f>
        <v>174234312.65160495</v>
      </c>
      <c r="D10" s="18">
        <f>D6*Assumptions!B9</f>
        <v>196966737.08886355</v>
      </c>
      <c r="E10" s="18">
        <f>E6*Assumptions!B9</f>
        <v>222665070.55363372</v>
      </c>
      <c r="F10" s="18">
        <f>F6*Assumptions!B9</f>
        <v>251716276.45071</v>
      </c>
    </row>
    <row r="11" spans="1:6" x14ac:dyDescent="0.25">
      <c r="A11" t="s">
        <v>47</v>
      </c>
      <c r="B11" s="18">
        <f>-B6*Assumptions!B10</f>
        <v>-170269293.45140535</v>
      </c>
      <c r="C11" s="18">
        <f>-C6*Assumptions!B10</f>
        <v>-192484400.1572189</v>
      </c>
      <c r="D11" s="18">
        <f>-D6*Assumptions!B10</f>
        <v>-217597921.22740242</v>
      </c>
      <c r="E11" s="18">
        <f>-E6*Assumptions!B10</f>
        <v>-245988014.00951383</v>
      </c>
      <c r="F11" s="18">
        <f>-F6*Assumptions!B10</f>
        <v>-278082174.2001304</v>
      </c>
    </row>
    <row r="12" spans="1:6" x14ac:dyDescent="0.25">
      <c r="A12" t="s">
        <v>48</v>
      </c>
      <c r="B12" s="18">
        <f>-(B6-Assumptions!B29)*Assumptions!B11</f>
        <v>-28687262.732248116</v>
      </c>
      <c r="C12" s="18">
        <f>-(C6-B6)*Assumptions!B11</f>
        <v>-32430102.029789925</v>
      </c>
      <c r="D12" s="18">
        <f>-(D6-C6)*Assumptions!B11</f>
        <v>-36661271.152940206</v>
      </c>
      <c r="E12" s="18">
        <f>-(E6-D6)*Assumptions!B11</f>
        <v>-41444482.7005101</v>
      </c>
      <c r="F12" s="18">
        <f>-(F6-E6)*Assumptions!B11</f>
        <v>-46851761.8810151</v>
      </c>
    </row>
    <row r="13" spans="1:6" x14ac:dyDescent="0.25">
      <c r="A13" s="19" t="s">
        <v>49</v>
      </c>
      <c r="B13" s="20">
        <f>B9+B10+B11+B12</f>
        <v>634049847.837903</v>
      </c>
      <c r="C13" s="20">
        <f>C9+C10+C11+C12</f>
        <v>716774599.5591743</v>
      </c>
      <c r="D13" s="20">
        <f>D9+D10+D11+D12</f>
        <v>810292484.6132303</v>
      </c>
      <c r="E13" s="20">
        <f>E9+E10+E11+E12</f>
        <v>916011687.6692942</v>
      </c>
      <c r="F13" s="20">
        <f>F9+F10+F11+F12</f>
        <v>1035524119.8457596</v>
      </c>
    </row>
    <row r="14" spans="1:6" x14ac:dyDescent="0.25">
      <c r="A14" t="s">
        <v>50</v>
      </c>
      <c r="B14" s="21">
        <f>1/(1+Assumptions!$B$26)^(1-0.5*Assumptions!$B$32)</f>
        <v>0.9532009398637201</v>
      </c>
      <c r="C14" s="21">
        <f>1/(1+Assumptions!$B$26)^(2-0.5*Assumptions!$B$32)</f>
        <v>0.8660707786235352</v>
      </c>
      <c r="D14" s="21">
        <f>1/(1+Assumptions!$B$26)^(3-0.5*Assumptions!$B$32)</f>
        <v>0.7869050083949936</v>
      </c>
      <c r="E14" s="21">
        <f>1/(1+Assumptions!$B$26)^(4-0.5*Assumptions!$B$32)</f>
        <v>0.7149756203774288</v>
      </c>
      <c r="F14" s="21">
        <f>1/(1+Assumptions!$B$26)^(5-0.5*Assumptions!$B$32)</f>
        <v>0.6496211515755064</v>
      </c>
    </row>
    <row r="15" spans="1:6" x14ac:dyDescent="0.25">
      <c r="A15" s="19" t="s">
        <v>51</v>
      </c>
      <c r="B15" s="20">
        <f>B13*B14</f>
        <v>604376910.8795379</v>
      </c>
      <c r="C15" s="20">
        <f>C13*C14</f>
        <v>620777535.5377867</v>
      </c>
      <c r="D15" s="20">
        <f>D13*D14</f>
        <v>637623214.4069742</v>
      </c>
      <c r="E15" s="20">
        <f>E13*E14</f>
        <v>654926024.6643292</v>
      </c>
      <c r="F15" s="20">
        <f>F13*F14</f>
        <v>672698371.218415</v>
      </c>
    </row>
    <row r="17" spans="1:2" x14ac:dyDescent="0.25">
      <c r="A17" s="22" t="s">
        <v>52</v>
      </c>
      <c r="B17" s="23">
        <f>SUM(B15:F15)</f>
        <v>3190402056.7070427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1035524119.8457596</v>
      </c>
    </row>
    <row r="5" spans="1:2" x14ac:dyDescent="0.25">
      <c r="A5" t="s">
        <v>56</v>
      </c>
      <c r="B5" s="18">
        <f>IF(Assumptions!$B$33=0,B4,B4-Forecast!F11-Forecast!F10-Forecast!F12)</f>
        <v>1108741779.476195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0.08657444235047206</v>
      </c>
    </row>
    <row r="7" spans="1:2" x14ac:dyDescent="0.25">
      <c r="A7" t="s">
        <v>58</v>
      </c>
      <c r="B7" s="18">
        <f>-MAX(Forecast!F9,0)*B6</f>
        <v>-95988701.26882166</v>
      </c>
    </row>
    <row r="8" spans="1:2" x14ac:dyDescent="0.25">
      <c r="A8" t="s">
        <v>59</v>
      </c>
      <c r="B8" s="18">
        <f>IF(OR(Assumptions!$B$33=0,Assumptions!B12&lt;=0),B5,MAX(B5+B7,0))</f>
        <v>1012753078.2073734</v>
      </c>
    </row>
    <row r="9" spans="1:2" x14ac:dyDescent="0.25">
      <c r="A9" t="s">
        <v>60</v>
      </c>
      <c r="B9" s="18">
        <f>B8*(1+Assumptions!B12)/(Assumptions!B26-Assumptions!B12)</f>
        <v>13730388282.385248</v>
      </c>
    </row>
    <row r="10" spans="1:2" x14ac:dyDescent="0.25">
      <c r="A10" t="s">
        <v>61</v>
      </c>
      <c r="B10" s="18">
        <f>B9/(1+Assumptions!B26)^(5-0.5*Assumptions!B32)</f>
        <v>8919550647.581944</v>
      </c>
    </row>
    <row r="11" spans="1:2" x14ac:dyDescent="0.25">
      <c r="A11" t="s">
        <v>62</v>
      </c>
      <c r="B11" s="18">
        <f>Forecast!B17+B10</f>
        <v>12109952704.288986</v>
      </c>
    </row>
    <row r="12" spans="1:2" x14ac:dyDescent="0.25">
      <c r="A12" t="s">
        <v>63</v>
      </c>
      <c r="B12" s="18">
        <f>-Assumptions!B30</f>
        <v>290000000</v>
      </c>
    </row>
    <row r="13" spans="1:2" x14ac:dyDescent="0.25">
      <c r="A13" t="s">
        <v>64</v>
      </c>
      <c r="B13" s="18">
        <f>B11+B12</f>
        <v>12399952704.288986</v>
      </c>
    </row>
    <row r="14" spans="1:2" x14ac:dyDescent="0.25">
      <c r="A14" s="19" t="s">
        <v>65</v>
      </c>
      <c r="B14" s="24">
        <f>B13/Assumptions!B31</f>
        <v>93.97977231000945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1835633104.273846</v>
      </c>
    </row>
    <row r="18" spans="1:2" x14ac:dyDescent="0.25">
      <c r="A18" t="s">
        <v>60</v>
      </c>
      <c r="B18" s="18">
        <f>B17*Assumptions!B13</f>
        <v>33341665647.941936</v>
      </c>
    </row>
    <row r="19" spans="1:2" x14ac:dyDescent="0.25">
      <c r="A19" t="s">
        <v>61</v>
      </c>
      <c r="B19" s="18">
        <f>B18/(1+Assumptions!B26)^(5-0.5*Assumptions!B32)</f>
        <v>21659451233.66154</v>
      </c>
    </row>
    <row r="20" spans="1:2" x14ac:dyDescent="0.25">
      <c r="A20" t="s">
        <v>62</v>
      </c>
      <c r="B20" s="18">
        <f>Forecast!B17+B19</f>
        <v>24849853290.368584</v>
      </c>
    </row>
    <row r="21" spans="1:2" x14ac:dyDescent="0.25">
      <c r="A21" t="s">
        <v>63</v>
      </c>
      <c r="B21" s="18">
        <f>-Assumptions!B30</f>
        <v>290000000</v>
      </c>
    </row>
    <row r="22" spans="1:2" x14ac:dyDescent="0.25">
      <c r="A22" t="s">
        <v>64</v>
      </c>
      <c r="B22" s="18">
        <f>B20+B21</f>
        <v>25139853290.368584</v>
      </c>
    </row>
    <row r="23" spans="1:2" x14ac:dyDescent="0.25">
      <c r="A23" s="19" t="s">
        <v>65</v>
      </c>
      <c r="B23" s="25">
        <f>B22/Assumptions!B31</f>
        <v>190.53602416714662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156.3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93.97977231000945</v>
      </c>
    </row>
    <row r="29" spans="1:2" x14ac:dyDescent="0.25">
      <c r="A29" s="19" t="s">
        <v>73</v>
      </c>
      <c r="B29" s="12">
        <f>B28/B26-1</f>
        <v>-0.3987218662187495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0.080604</v>
      </c>
      <c r="B5" s="31">
        <v>114.50491169858417</v>
      </c>
      <c r="C5" s="31">
        <v>120.41530369446708</v>
      </c>
      <c r="D5" s="31">
        <v>127.37017820775947</v>
      </c>
      <c r="E5" s="31">
        <v>135.67913996854477</v>
      </c>
      <c r="F5" s="31">
        <v>145.78757334469404</v>
      </c>
    </row>
    <row r="6" spans="1:6" x14ac:dyDescent="0.25">
      <c r="A6" s="30">
        <v>0.090604</v>
      </c>
      <c r="B6" s="31">
        <v>99.34357778777581</v>
      </c>
      <c r="C6" s="31">
        <v>103.42939088088335</v>
      </c>
      <c r="D6" s="31">
        <v>108.12299157767916</v>
      </c>
      <c r="E6" s="31">
        <v>113.57481242478268</v>
      </c>
      <c r="F6" s="31">
        <v>119.98939450295454</v>
      </c>
    </row>
    <row r="7" spans="1:6" x14ac:dyDescent="0.25">
      <c r="A7" s="30">
        <v>0.100604</v>
      </c>
      <c r="B7" s="31">
        <v>87.74167532319488</v>
      </c>
      <c r="C7" s="31">
        <v>90.67309177723574</v>
      </c>
      <c r="D7" s="32">
        <v>93.97973920652615</v>
      </c>
      <c r="E7" s="31">
        <v>97.74133638944616</v>
      </c>
      <c r="F7" s="31">
        <v>102.06190512808776</v>
      </c>
    </row>
    <row r="8" spans="1:6" x14ac:dyDescent="0.25">
      <c r="A8" s="30">
        <v>0.110604</v>
      </c>
      <c r="B8" s="31">
        <v>78.58154431287836</v>
      </c>
      <c r="C8" s="31">
        <v>80.7453250530756</v>
      </c>
      <c r="D8" s="31">
        <v>83.1512709340549</v>
      </c>
      <c r="E8" s="31">
        <v>85.8444476735441</v>
      </c>
      <c r="F8" s="31">
        <v>88.88184250604988</v>
      </c>
    </row>
    <row r="9" spans="1:6" x14ac:dyDescent="0.25">
      <c r="A9" s="30">
        <v>0.120604</v>
      </c>
      <c r="B9" s="31">
        <v>71.16890151359368</v>
      </c>
      <c r="C9" s="31">
        <v>72.80210650844568</v>
      </c>
      <c r="D9" s="31">
        <v>74.5970246625537</v>
      </c>
      <c r="E9" s="31">
        <v>76.58042849577157</v>
      </c>
      <c r="F9" s="31">
        <v>78.78534549731303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2011600000</v>
      </c>
      <c r="C5" s="18">
        <v>1928500000</v>
      </c>
      <c r="D5" s="18">
        <v>1699800000</v>
      </c>
      <c r="E5" s="18">
        <v>1392400000</v>
      </c>
      <c r="F5" s="8" t="s">
        <v>84</v>
      </c>
    </row>
    <row r="6" spans="1:6" x14ac:dyDescent="0.25">
      <c r="A6" t="s">
        <v>44</v>
      </c>
      <c r="B6" s="18">
        <v>977100000</v>
      </c>
      <c r="C6" s="18">
        <v>796200000</v>
      </c>
      <c r="D6" s="18">
        <v>711100000</v>
      </c>
      <c r="E6" s="18">
        <v>541600000</v>
      </c>
      <c r="F6" s="8" t="s">
        <v>85</v>
      </c>
    </row>
    <row r="7" spans="1:6" x14ac:dyDescent="0.25">
      <c r="A7" t="s">
        <v>86</v>
      </c>
      <c r="B7" s="18">
        <v>133000000</v>
      </c>
      <c r="C7" s="18">
        <v>139400000</v>
      </c>
      <c r="D7" s="18">
        <v>113500000</v>
      </c>
      <c r="E7" s="18">
        <v>91800000</v>
      </c>
      <c r="F7" s="8" t="s">
        <v>87</v>
      </c>
    </row>
    <row r="8" spans="1:6" x14ac:dyDescent="0.25">
      <c r="A8" t="s">
        <v>88</v>
      </c>
      <c r="B8" s="18">
        <v>140700000</v>
      </c>
      <c r="C8" s="18">
        <v>138000000</v>
      </c>
      <c r="D8" s="18">
        <v>125000000</v>
      </c>
      <c r="E8" s="18">
        <v>117600000</v>
      </c>
      <c r="F8" s="8" t="s">
        <v>89</v>
      </c>
    </row>
    <row r="9" spans="1:6" x14ac:dyDescent="0.25">
      <c r="A9" t="s">
        <v>90</v>
      </c>
      <c r="B9" s="18">
        <v>34100000</v>
      </c>
      <c r="C9" s="18">
        <v>1300000</v>
      </c>
      <c r="D9" s="18">
        <v>33600000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75600000</v>
      </c>
      <c r="C10" s="18">
        <v>70700000</v>
      </c>
      <c r="D10" s="18">
        <v>281200000</v>
      </c>
      <c r="E10" s="18">
        <v>403200000</v>
      </c>
      <c r="F10" s="8" t="s">
        <v>93</v>
      </c>
    </row>
    <row r="11" spans="1:6" x14ac:dyDescent="0.25">
      <c r="A11" t="s">
        <v>94</v>
      </c>
      <c r="B11" s="18">
        <v>365600000</v>
      </c>
      <c r="C11" s="18">
        <v>428800000</v>
      </c>
      <c r="D11" s="18">
        <v>205100000</v>
      </c>
      <c r="E11" s="18">
        <v>286300000</v>
      </c>
      <c r="F11" s="8" t="s">
        <v>95</v>
      </c>
    </row>
    <row r="12" spans="1:6" x14ac:dyDescent="0.25">
      <c r="A12" t="s">
        <v>32</v>
      </c>
      <c r="B12" s="34">
        <v>131942783</v>
      </c>
      <c r="C12" s="34">
        <v>132170014</v>
      </c>
      <c r="D12" s="34">
        <v>132169358</v>
      </c>
      <c r="E12" s="34">
        <v>132133581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2026-09-19T01:04:53Z</dcterms:modified>
</cp:coreProperties>
</file>