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<sst xmlns="http://schemas.openxmlformats.org/spreadsheetml/2006/main" count="113" uniqueCount="101">
  <si>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Recordati Industria Chimica e Farmaceutica S.p.A. (REC.MI)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</si>
  <si>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</si>
  <si>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</si>
  <si>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</si>
  <si>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</si>
  <si>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</si>
  <si>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</si>
  <si>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</si>
  <si>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</si>
  <si>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</si>
  <si>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</si>
  <si>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</si>
  <si>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</si>
  <si>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</si>
  <si>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</si>
  <si>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</si>
  <si>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</si>
  <si>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</si>
  <si>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</si>
  <si>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</si>
  <si>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</si>
  <si>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</si>
  <si>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</si>
  <si>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</si>
  <si>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</si>
  <si>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</si>
  <si>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</si>
  <si>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</si>
  <si>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</si>
  <si>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</si>
  <si>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</si>
  <si>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</si>
  <si>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</si>
  <si>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</si>
  <si>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</si>
  <si>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</si>
  <si>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</si>
  <si>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</si>
  <si>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</si>
  <si>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</si>
  <si>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</si>
  <si>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</si>
  <si>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</si>
  <si>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</si>
  <si>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</si>
  <si>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</si>
  <si>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</si>
  <si>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</si>
  <si>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</si>
  <si>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</si>
  <si>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</si>
  <si>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</si>
  <si>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</si>
  <si>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</si>
  <si>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</si>
  <si>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</si>
  <si>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</si>
  <si>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</si>
  <si>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</si>
  <si>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</si>
  <si>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</si>
  <si>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</si>
  <si>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</si>
  <si>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</si>
  <si>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</si>
  <si>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</si>
  <si>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</si>
  <si>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</si>
  <si>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</si>
  <si>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</si>
  <si>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</si>
  <si>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</si>
  <si>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</si>
  <si>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</si>
  <si>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</si>
  <si>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</si>
  <si>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</si>
  <si>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</si>
  <si>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</si>
  <si>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</si>
  <si>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</si>
  <si>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</si>
  <si>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</si>
  <si>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</si>
  <si>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</si>
  <si>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</si>
  <si>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</si>
  <si>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</si>
  <si>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</si>
  <si>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</si>
  <si>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</si>
  <si>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</si>
  <si>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</si>
  <si>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</si>
  <si>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</si>
  <si>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</si>
  <si>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</si>
  <si>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</si>
  <si>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15.8% of revenue against depreciation of 7.2%.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</si>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</sst>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0.12209235169628307</v>
      </c>
    </row>
    <row r="7" spans="1:2" x14ac:dyDescent="0.25">
      <c r="A7" t="s">
        <v>5</v>
      </c>
      <c r="B7" s="6">
        <v>0.2737564063414298</v>
      </c>
    </row>
    <row r="8" spans="1:2" x14ac:dyDescent="0.25">
      <c r="A8" t="s">
        <v>6</v>
      </c>
      <c r="B8" s="6">
        <v>0.2293793381685319</v>
      </c>
    </row>
    <row r="9" spans="1:2" x14ac:dyDescent="0.25">
      <c r="A9" t="s">
        <v>7</v>
      </c>
      <c r="B9" s="6">
        <v>0.07163520244064739</v>
      </c>
    </row>
    <row r="10" spans="1:2" x14ac:dyDescent="0.25">
      <c r="A10" t="s">
        <v>8</v>
      </c>
      <c r="B10" s="6">
        <v>0.15801236619196668</v>
      </c>
    </row>
    <row r="11" spans="1:2" x14ac:dyDescent="0.25">
      <c r="A11" t="s">
        <v>9</v>
      </c>
      <c r="B11" s="6">
        <v>0.48306291043733407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13.855186174520123</v>
      </c>
    </row>
    <row r="14" spans="1:3" x14ac:dyDescent="0.25">
      <c r="A14" t="s">
        <v>12</v>
      </c>
      <c r="B14" s="6">
        <v>0.2558786705949573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0.68711</v>
      </c>
      <c r="C19" s="8" t="s">
        <v>19</v>
      </c>
    </row>
    <row r="20" spans="1:2" x14ac:dyDescent="0.25">
      <c r="A20" t="s">
        <v>20</v>
      </c>
      <c r="B20" s="10">
        <f>B17+B19*B18</f>
        <v>0.08666215000000001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10793651200</v>
      </c>
    </row>
    <row r="23" spans="1:2" x14ac:dyDescent="0.25">
      <c r="A23" t="s">
        <v>24</v>
      </c>
      <c r="B23" s="11">
        <v>2467486000</v>
      </c>
    </row>
    <row r="24" spans="1:2" x14ac:dyDescent="0.25">
      <c r="A24" t="s">
        <v>25</v>
      </c>
      <c r="B24" s="10">
        <f>B22/(B22+B23)</f>
        <v>0.813931040544547</v>
      </c>
    </row>
    <row r="25" spans="1:2" x14ac:dyDescent="0.25">
      <c r="A25" t="s">
        <v>26</v>
      </c>
      <c r="B25" s="10">
        <f>1-B24</f>
        <v>0.186068959455453</v>
      </c>
    </row>
    <row r="26" spans="1:2" x14ac:dyDescent="0.25">
      <c r="A26" t="s">
        <v>27</v>
      </c>
      <c r="B26" s="12">
        <f>B24*B20+B25*B21*(1-B8)</f>
        <v>0.07655933448196547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2618383000</v>
      </c>
      <c r="C29" s="8" t="s">
        <v>30</v>
      </c>
    </row>
    <row r="30" spans="1:2" x14ac:dyDescent="0.25">
      <c r="A30" t="s">
        <v>31</v>
      </c>
      <c r="B30" s="11">
        <v>2038662000</v>
      </c>
    </row>
    <row r="31" spans="1:2" x14ac:dyDescent="0.25">
      <c r="A31" t="s">
        <v>32</v>
      </c>
      <c r="B31" s="13">
        <v>209157944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0.12209235169628307</v>
      </c>
      <c r="C5" s="10">
        <f>Assumptions!B6</f>
        <v>0.12209235169628307</v>
      </c>
      <c r="D5" s="10">
        <f>Assumptions!B6</f>
        <v>0.12209235169628307</v>
      </c>
      <c r="E5" s="10">
        <f>Assumptions!B6</f>
        <v>0.12209235169628307</v>
      </c>
      <c r="F5" s="10">
        <f>Assumptions!B6</f>
        <v>0.12209235169628307</v>
      </c>
    </row>
    <row r="6" spans="1:6" x14ac:dyDescent="0.25">
      <c r="A6" t="s">
        <v>43</v>
      </c>
      <c r="B6" s="18">
        <f>Assumptions!B29*(1+B5)</f>
        <v>2938067538.111569</v>
      </c>
      <c r="C6" s="18">
        <f>B6*(1+C5)</f>
        <v>3296783113.2821193</v>
      </c>
      <c r="D6" s="18">
        <f>C6*(1+D5)</f>
        <v>3699295116.615327</v>
      </c>
      <c r="E6" s="18">
        <f>D6*(1+E5)</f>
        <v>4150950757.0214677</v>
      </c>
      <c r="F6" s="18">
        <f>E6*(1+F5)</f>
        <v>4657750096.721685</v>
      </c>
    </row>
    <row r="7" spans="1:6" x14ac:dyDescent="0.25">
      <c r="A7" t="s">
        <v>5</v>
      </c>
      <c r="B7" s="10">
        <f>Assumptions!B7</f>
        <v>0.2737564063414298</v>
      </c>
      <c r="C7" s="10">
        <f>Assumptions!B7</f>
        <v>0.2737564063414298</v>
      </c>
      <c r="D7" s="10">
        <f>Assumptions!B7</f>
        <v>0.2737564063414298</v>
      </c>
      <c r="E7" s="10">
        <f>Assumptions!B7</f>
        <v>0.2737564063414298</v>
      </c>
      <c r="F7" s="10">
        <f>Assumptions!B7</f>
        <v>0.2737564063414298</v>
      </c>
    </row>
    <row r="8" spans="1:6" x14ac:dyDescent="0.25">
      <c r="A8" t="s">
        <v>44</v>
      </c>
      <c r="B8" s="18">
        <f>B6*B7</f>
        <v>804314810.8218349</v>
      </c>
      <c r="C8" s="18">
        <f>C6*C7</f>
        <v>902515497.5792238</v>
      </c>
      <c r="D8" s="18">
        <f>D6*D7</f>
        <v>1012705737.1210123</v>
      </c>
      <c r="E8" s="18">
        <f>E6*E7</f>
        <v>1136349362.1424344</v>
      </c>
      <c r="F8" s="18">
        <f>F6*F7</f>
        <v>1275088928.1149757</v>
      </c>
    </row>
    <row r="9" spans="1:6" x14ac:dyDescent="0.25">
      <c r="A9" t="s">
        <v>45</v>
      </c>
      <c r="B9" s="18">
        <f>B8*(1-Assumptions!B8)</f>
        <v>619821611.8363745</v>
      </c>
      <c r="C9" s="18">
        <f>C8*(1-Assumptions!B8)</f>
        <v>695497090.0576582</v>
      </c>
      <c r="D9" s="18">
        <f>D8*(1-Assumptions!B8)</f>
        <v>780411965.3807193</v>
      </c>
      <c r="E9" s="18">
        <f>E8*(1-Assumptions!B8)</f>
        <v>875694297.5259695</v>
      </c>
      <c r="F9" s="18">
        <f>F8*(1-Assumptions!B8)</f>
        <v>982609873.6779399</v>
      </c>
    </row>
    <row r="10" spans="1:6" x14ac:dyDescent="0.25">
      <c r="A10" t="s">
        <v>46</v>
      </c>
      <c r="B10" s="18">
        <f>B6*Assumptions!B9</f>
        <v>210469062.87691674</v>
      </c>
      <c r="C10" s="18">
        <f>C6*Assumptions!B9</f>
        <v>236165725.72287238</v>
      </c>
      <c r="D10" s="18">
        <f>D6*Assumptions!B9</f>
        <v>264999754.56643724</v>
      </c>
      <c r="E10" s="18">
        <f>E6*Assumptions!B9</f>
        <v>297354197.8003914</v>
      </c>
      <c r="F10" s="18">
        <f>F6*Assumptions!B9</f>
        <v>333658871.0966029</v>
      </c>
    </row>
    <row r="11" spans="1:6" x14ac:dyDescent="0.25">
      <c r="A11" t="s">
        <v>47</v>
      </c>
      <c r="B11" s="18">
        <f>-B6*Assumptions!B10</f>
        <v>-464251003.72881526</v>
      </c>
      <c r="C11" s="18">
        <f>-C6*Assumptions!B10</f>
        <v>-520932500.5514262</v>
      </c>
      <c r="D11" s="18">
        <f>-D6*Assumptions!B10</f>
        <v>-584534374.6187751</v>
      </c>
      <c r="E11" s="18">
        <f>-E6*Assumptions!B10</f>
        <v>-655901551.0632975</v>
      </c>
      <c r="F11" s="18">
        <f>-F6*Assumptions!B10</f>
        <v>-735982113.9138552</v>
      </c>
    </row>
    <row r="12" spans="1:6" x14ac:dyDescent="0.25">
      <c r="A12" t="s">
        <v>48</v>
      </c>
      <c r="B12" s="18">
        <f>-(B6-Assumptions!B29)*Assumptions!B11</f>
        <v>-154427743.40198934</v>
      </c>
      <c r="C12" s="18">
        <f>-(C6-B6)*Assumptions!B11</f>
        <v>-173282189.76108834</v>
      </c>
      <c r="D12" s="18">
        <f>-(D6-C6)*Assumptions!B11</f>
        <v>-194438619.8161012</v>
      </c>
      <c r="E12" s="18">
        <f>-(E6-D6)*Assumptions!B11</f>
        <v>-218178088.17002836</v>
      </c>
      <c r="F12" s="18">
        <f>-(F6-E6)*Assumptions!B11</f>
        <v>-244815964.04330632</v>
      </c>
    </row>
    <row r="13" spans="1:6" x14ac:dyDescent="0.25">
      <c r="A13" s="19" t="s">
        <v>49</v>
      </c>
      <c r="B13" s="20">
        <f>B9+B10+B11+B12</f>
        <v>211611927.5824867</v>
      </c>
      <c r="C13" s="20">
        <f>C9+C10+C11+C12</f>
        <v>237448125.46801606</v>
      </c>
      <c r="D13" s="20">
        <f>D9+D10+D11+D12</f>
        <v>266438725.51228023</v>
      </c>
      <c r="E13" s="20">
        <f>E9+E10+E11+E12</f>
        <v>298968856.0930351</v>
      </c>
      <c r="F13" s="20">
        <f>F9+F10+F11+F12</f>
        <v>335470666.81738126</v>
      </c>
    </row>
    <row r="14" spans="1:6" x14ac:dyDescent="0.25">
      <c r="A14" t="s">
        <v>50</v>
      </c>
      <c r="B14" s="21">
        <f>1/(1+Assumptions!$B$26)^(1-0.5*Assumptions!$B$32)</f>
        <v>0.963786890139559</v>
      </c>
      <c r="C14" s="21">
        <f>1/(1+Assumptions!$B$26)^(2-0.5*Assumptions!$B$32)</f>
        <v>0.8952473489102467</v>
      </c>
      <c r="D14" s="21">
        <f>1/(1+Assumptions!$B$26)^(3-0.5*Assumptions!$B$32)</f>
        <v>0.8315819855308159</v>
      </c>
      <c r="E14" s="21">
        <f>1/(1+Assumptions!$B$26)^(4-0.5*Assumptions!$B$32)</f>
        <v>0.7724441736701569</v>
      </c>
      <c r="F14" s="21">
        <f>1/(1+Assumptions!$B$26)^(5-0.5*Assumptions!$B$32)</f>
        <v>0.717511937269907</v>
      </c>
    </row>
    <row r="15" spans="1:6" x14ac:dyDescent="0.25">
      <c r="A15" s="19" t="s">
        <v>51</v>
      </c>
      <c r="B15" s="20">
        <f>B13*B14</f>
        <v>203948801.6011624</v>
      </c>
      <c r="C15" s="20">
        <f>C13*C14</f>
        <v>212574804.828949</v>
      </c>
      <c r="D15" s="20">
        <f>D13*D14</f>
        <v>221565644.38380203</v>
      </c>
      <c r="E15" s="20">
        <f>E13*E14</f>
        <v>230936750.99789655</v>
      </c>
      <c r="F15" s="20">
        <f>F13*F14</f>
        <v>240704208.04536673</v>
      </c>
    </row>
    <row r="17" spans="1:2" x14ac:dyDescent="0.25">
      <c r="A17" s="22" t="s">
        <v>52</v>
      </c>
      <c r="B17" s="23">
        <f>SUM(B15:F15)</f>
        <v>1109730209.8571768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335470666.81738126</v>
      </c>
    </row>
    <row r="5" spans="1:2" x14ac:dyDescent="0.25">
      <c r="A5" t="s">
        <v>56</v>
      </c>
      <c r="B5" s="18">
        <f>IF(Assumptions!$B$33=0,B4,B4-Forecast!F11-Forecast!F10-Forecast!F12)</f>
        <v>1188790068.338588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0.09770255544110477</v>
      </c>
    </row>
    <row r="7" spans="1:2" x14ac:dyDescent="0.25">
      <c r="A7" t="s">
        <v>58</v>
      </c>
      <c r="B7" s="18">
        <f>-MAX(Forecast!F9,0)*B6</f>
        <v>-116147827.55968563</v>
      </c>
    </row>
    <row r="8" spans="1:2" x14ac:dyDescent="0.25">
      <c r="A8" t="s">
        <v>59</v>
      </c>
      <c r="B8" s="18">
        <f>IF(OR(Assumptions!$B$33=0,Assumptions!B12&lt;=0),B5,MAX(B5+B7,0))</f>
        <v>1072642240.7789024</v>
      </c>
    </row>
    <row r="9" spans="1:2" x14ac:dyDescent="0.25">
      <c r="A9" t="s">
        <v>60</v>
      </c>
      <c r="B9" s="18">
        <f>B8*(1+Assumptions!B12)/(Assumptions!B26-Assumptions!B12)</f>
        <v>21324136702.791336</v>
      </c>
    </row>
    <row r="10" spans="1:2" x14ac:dyDescent="0.25">
      <c r="A10" t="s">
        <v>61</v>
      </c>
      <c r="B10" s="18">
        <f>B9/(1+Assumptions!B26)^(5-0.5*Assumptions!B32)</f>
        <v>15300322636.22814</v>
      </c>
    </row>
    <row r="11" spans="1:2" x14ac:dyDescent="0.25">
      <c r="A11" t="s">
        <v>62</v>
      </c>
      <c r="B11" s="18">
        <f>Forecast!B17+B10</f>
        <v>16410052846.085316</v>
      </c>
    </row>
    <row r="12" spans="1:2" x14ac:dyDescent="0.25">
      <c r="A12" t="s">
        <v>63</v>
      </c>
      <c r="B12" s="18">
        <f>-Assumptions!B30</f>
        <v>-2038662000</v>
      </c>
    </row>
    <row r="13" spans="1:2" x14ac:dyDescent="0.25">
      <c r="A13" t="s">
        <v>64</v>
      </c>
      <c r="B13" s="18">
        <f>B11+B12</f>
        <v>14371390846.085316</v>
      </c>
    </row>
    <row r="14" spans="1:2" x14ac:dyDescent="0.25">
      <c r="A14" s="19" t="s">
        <v>65</v>
      </c>
      <c r="B14" s="24">
        <f>B13/Assumptions!B31</f>
        <v>68.71071005596285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1608747799.2115786</v>
      </c>
    </row>
    <row r="18" spans="1:2" x14ac:dyDescent="0.25">
      <c r="A18" t="s">
        <v>60</v>
      </c>
      <c r="B18" s="18">
        <f>B17*Assumptions!B13</f>
        <v>22289500265.925938</v>
      </c>
    </row>
    <row r="19" spans="1:2" x14ac:dyDescent="0.25">
      <c r="A19" t="s">
        <v>61</v>
      </c>
      <c r="B19" s="18">
        <f>B18/(1+Assumptions!B26)^(5-0.5*Assumptions!B32)</f>
        <v>15992982516.582628</v>
      </c>
    </row>
    <row r="20" spans="1:2" x14ac:dyDescent="0.25">
      <c r="A20" t="s">
        <v>62</v>
      </c>
      <c r="B20" s="18">
        <f>Forecast!B17+B19</f>
        <v>17102712726.439804</v>
      </c>
    </row>
    <row r="21" spans="1:2" x14ac:dyDescent="0.25">
      <c r="A21" t="s">
        <v>63</v>
      </c>
      <c r="B21" s="18">
        <f>-Assumptions!B30</f>
        <v>-2038662000</v>
      </c>
    </row>
    <row r="22" spans="1:2" x14ac:dyDescent="0.25">
      <c r="A22" t="s">
        <v>64</v>
      </c>
      <c r="B22" s="18">
        <f>B20+B21</f>
        <v>15064050726.439804</v>
      </c>
    </row>
    <row r="23" spans="1:2" x14ac:dyDescent="0.25">
      <c r="A23" s="19" t="s">
        <v>65</v>
      </c>
      <c r="B23" s="25">
        <f>B22/Assumptions!B31</f>
        <v>72.02236949909874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52.7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68.71071005596285</v>
      </c>
    </row>
    <row r="29" spans="1:2" x14ac:dyDescent="0.25">
      <c r="A29" s="19" t="s">
        <v>73</v>
      </c>
      <c r="B29" s="12">
        <f>B28/B26-1</f>
        <v>0.3038085399613444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0.056559</v>
      </c>
      <c r="B5" s="31">
        <v>97.84133361544663</v>
      </c>
      <c r="C5" s="31">
        <v>109.94595984847638</v>
      </c>
      <c r="D5" s="31">
        <v>125.85866653261678</v>
      </c>
      <c r="E5" s="31">
        <v>147.7301824892339</v>
      </c>
      <c r="F5" s="31">
        <v>179.70643930546763</v>
      </c>
    </row>
    <row r="6" spans="1:6" x14ac:dyDescent="0.25">
      <c r="A6" s="30">
        <v>0.066559</v>
      </c>
      <c r="B6" s="31">
        <v>74.50648167425432</v>
      </c>
      <c r="C6" s="31">
        <v>81.58007197520871</v>
      </c>
      <c r="D6" s="31">
        <v>90.33572484962832</v>
      </c>
      <c r="E6" s="31">
        <v>101.46358331570242</v>
      </c>
      <c r="F6" s="31">
        <v>116.09115723986574</v>
      </c>
    </row>
    <row r="7" spans="1:6" x14ac:dyDescent="0.25">
      <c r="A7" s="30">
        <v>0.076559</v>
      </c>
      <c r="B7" s="31">
        <v>58.85806636377036</v>
      </c>
      <c r="C7" s="31">
        <v>63.356194897141926</v>
      </c>
      <c r="D7" s="32">
        <v>68.71129115389631</v>
      </c>
      <c r="E7" s="31">
        <v>75.19944602625075</v>
      </c>
      <c r="F7" s="31">
        <v>83.22961736290232</v>
      </c>
    </row>
    <row r="8" spans="1:6" x14ac:dyDescent="0.25">
      <c r="A8" s="30">
        <v>0.086559</v>
      </c>
      <c r="B8" s="31">
        <v>47.66839009191784</v>
      </c>
      <c r="C8" s="31">
        <v>50.69751189867624</v>
      </c>
      <c r="D8" s="31">
        <v>54.206284240227106</v>
      </c>
      <c r="E8" s="31">
        <v>58.321915129828945</v>
      </c>
      <c r="F8" s="31">
        <v>63.220957220185696</v>
      </c>
    </row>
    <row r="9" spans="1:6" x14ac:dyDescent="0.25">
      <c r="A9" s="30">
        <v>0.096559</v>
      </c>
      <c r="B9" s="31">
        <v>39.29306509499738</v>
      </c>
      <c r="C9" s="31">
        <v>41.41879036219257</v>
      </c>
      <c r="D9" s="31">
        <v>43.831323920747536</v>
      </c>
      <c r="E9" s="31">
        <v>46.59530202376702</v>
      </c>
      <c r="F9" s="31">
        <v>49.796360697940294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2618383000</v>
      </c>
      <c r="C5" s="18">
        <v>2341559000</v>
      </c>
      <c r="D5" s="18">
        <v>2082331000</v>
      </c>
      <c r="E5" s="18">
        <v>1853307000</v>
      </c>
      <c r="F5" s="8" t="s">
        <v>84</v>
      </c>
    </row>
    <row r="6" spans="1:6" x14ac:dyDescent="0.25">
      <c r="A6" t="s">
        <v>44</v>
      </c>
      <c r="B6" s="18">
        <v>719739000</v>
      </c>
      <c r="C6" s="18">
        <v>659870000</v>
      </c>
      <c r="D6" s="18">
        <v>565767000</v>
      </c>
      <c r="E6" s="18">
        <v>494165000</v>
      </c>
      <c r="F6" s="8" t="s">
        <v>85</v>
      </c>
    </row>
    <row r="7" spans="1:6" x14ac:dyDescent="0.25">
      <c r="A7" t="s">
        <v>86</v>
      </c>
      <c r="B7" s="18">
        <v>206435000</v>
      </c>
      <c r="C7" s="18">
        <v>167025000</v>
      </c>
      <c r="D7" s="18">
        <v>142670000</v>
      </c>
      <c r="E7" s="18">
        <v>125756000</v>
      </c>
      <c r="F7" s="8" t="s">
        <v>87</v>
      </c>
    </row>
    <row r="8" spans="1:6" x14ac:dyDescent="0.25">
      <c r="A8" t="s">
        <v>88</v>
      </c>
      <c r="B8" s="18">
        <v>85124000</v>
      </c>
      <c r="C8" s="18">
        <v>851161000</v>
      </c>
      <c r="D8" s="18">
        <v>383264000</v>
      </c>
      <c r="E8" s="18">
        <v>96339000</v>
      </c>
      <c r="F8" s="8" t="s">
        <v>89</v>
      </c>
    </row>
    <row r="9" spans="1:6" x14ac:dyDescent="0.25">
      <c r="A9" t="s">
        <v>90</v>
      </c>
      <c r="B9" s="18">
        <v>148206000</v>
      </c>
      <c r="C9" s="18">
        <v>112519000</v>
      </c>
      <c r="D9" s="18">
        <v>110633000</v>
      </c>
      <c r="E9" s="18">
        <v>61387000</v>
      </c>
      <c r="F9" s="8" t="s">
        <v>91</v>
      </c>
    </row>
    <row r="10" spans="1:6" x14ac:dyDescent="0.25">
      <c r="A10" t="s">
        <v>92</v>
      </c>
      <c r="B10" s="18">
        <v>2467486000</v>
      </c>
      <c r="C10" s="18">
        <v>2484427000</v>
      </c>
      <c r="D10" s="18">
        <v>1808900000</v>
      </c>
      <c r="E10" s="18">
        <v>1716520000</v>
      </c>
      <c r="F10" s="8" t="s">
        <v>93</v>
      </c>
    </row>
    <row r="11" spans="1:6" x14ac:dyDescent="0.25">
      <c r="A11" t="s">
        <v>94</v>
      </c>
      <c r="B11" s="18">
        <v>428824000</v>
      </c>
      <c r="C11" s="18">
        <v>322423000</v>
      </c>
      <c r="D11" s="18">
        <v>221812000</v>
      </c>
      <c r="E11" s="18">
        <v>284734000</v>
      </c>
      <c r="F11" s="8" t="s">
        <v>95</v>
      </c>
    </row>
    <row r="12" spans="1:6" x14ac:dyDescent="0.25">
      <c r="A12" t="s">
        <v>32</v>
      </c>
      <c r="B12" s="34">
        <v>209157944</v>
      </c>
      <c r="C12" s="34">
        <v>209090361</v>
      </c>
      <c r="D12" s="34">
        <v>209142397</v>
      </c>
      <c r="E12" s="34">
        <v>209125156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