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<sst xmlns="http://schemas.openxmlformats.org/spreadsheetml/2006/main" count="114" uniqueCount="102">
  <si>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Redeia Corporación, S.A. (RED.MC)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</si>
  <si>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</si>
  <si>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</si>
  <si>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</si>
  <si>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</si>
  <si>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</si>
  <si>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</si>
  <si>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</si>
  <si>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</si>
  <si>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</si>
  <si>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</si>
  <si>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</si>
  <si>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</si>
  <si>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</si>
  <si>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</si>
  <si>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</si>
  <si>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</si>
  <si>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</si>
  <si>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</si>
  <si>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</si>
  <si>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</si>
  <si>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</si>
  <si>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</si>
  <si>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</si>
  <si>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</si>
  <si>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</si>
  <si>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</si>
  <si>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</si>
  <si>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</si>
  <si>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</si>
  <si>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</si>
  <si>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</si>
  <si>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</si>
  <si>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</si>
  <si>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</si>
  <si>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</si>
  <si>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</si>
  <si>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</si>
  <si>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</si>
  <si>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</si>
  <si>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</si>
  <si>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</si>
  <si>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</si>
  <si>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</si>
  <si>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</si>
  <si>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</si>
  <si>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</si>
  <si>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</si>
  <si>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</si>
  <si>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</si>
  <si>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</si>
  <si>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</si>
  <si>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</si>
  <si>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</si>
  <si>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</si>
  <si>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</si>
  <si>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</si>
  <si>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</si>
  <si>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</si>
  <si>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</si>
  <si>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</si>
  <si>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</si>
  <si>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</si>
  <si>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</si>
  <si>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</si>
  <si>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</si>
  <si>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</si>
  <si>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</si>
  <si>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</si>
  <si>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</si>
  <si>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</si>
  <si>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</si>
  <si>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</si>
  <si>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</si>
  <si>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</si>
  <si>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</si>
  <si>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</si>
  <si>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</si>
  <si>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</si>
  <si>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</si>
  <si>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</si>
  <si>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</si>
  <si>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</si>
  <si>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</si>
  <si>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</si>
  <si>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</si>
  <si>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</si>
  <si>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</si>
  <si>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</si>
  <si>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</si>
  <si>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</si>
  <si>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</si>
  <si>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</si>
  <si>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</si>
  <si>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</si>
  <si>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</si>
  <si>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</si>
  <si>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</si>
  <si>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</si>
  <si>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56.8% of revenue against depreciation of 27.2%.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</si>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</sst>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-0.06265464401169851</v>
      </c>
    </row>
    <row r="7" spans="1:2" x14ac:dyDescent="0.25">
      <c r="A7" t="s">
        <v>5</v>
      </c>
      <c r="B7" s="6">
        <v>0.46030067304692945</v>
      </c>
    </row>
    <row r="8" spans="1:2" x14ac:dyDescent="0.25">
      <c r="A8" t="s">
        <v>6</v>
      </c>
      <c r="B8" s="6">
        <v>0.22029669224022502</v>
      </c>
    </row>
    <row r="9" spans="1:2" x14ac:dyDescent="0.25">
      <c r="A9" t="s">
        <v>7</v>
      </c>
      <c r="B9" s="6">
        <v>0.27169923710251875</v>
      </c>
    </row>
    <row r="10" spans="1:2" x14ac:dyDescent="0.25">
      <c r="A10" t="s">
        <v>8</v>
      </c>
      <c r="B10" s="6">
        <v>0.5682643071851503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11.184595037542651</v>
      </c>
    </row>
    <row r="14" spans="1:3" x14ac:dyDescent="0.25">
      <c r="A14" t="s">
        <v>12</v>
      </c>
      <c r="B14" s="6">
        <v>0.0613815901468673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0.63016</v>
      </c>
      <c r="C19" s="8" t="s">
        <v>19</v>
      </c>
    </row>
    <row r="20" spans="1:2" x14ac:dyDescent="0.25">
      <c r="A20" t="s">
        <v>20</v>
      </c>
      <c r="B20" s="10">
        <f>B17+B19*B18</f>
        <v>0.08296040000000002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8153293824</v>
      </c>
    </row>
    <row r="23" spans="1:2" x14ac:dyDescent="0.25">
      <c r="A23" t="s">
        <v>24</v>
      </c>
      <c r="B23" s="11">
        <v>6144376000</v>
      </c>
    </row>
    <row r="24" spans="1:2" x14ac:dyDescent="0.25">
      <c r="A24" t="s">
        <v>25</v>
      </c>
      <c r="B24" s="10">
        <f>B22/(B22+B23)</f>
        <v>0.5702533296939002</v>
      </c>
    </row>
    <row r="25" spans="1:2" x14ac:dyDescent="0.25">
      <c r="A25" t="s">
        <v>26</v>
      </c>
      <c r="B25" s="10">
        <f>1-B24</f>
        <v>0.4297466703060998</v>
      </c>
    </row>
    <row r="26" spans="1:2" x14ac:dyDescent="0.25">
      <c r="A26" t="s">
        <v>27</v>
      </c>
      <c r="B26" s="12">
        <f>B24*B20+B25*B21*(1-B8)</f>
        <v>0.0613815901468673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1659517000</v>
      </c>
      <c r="C29" s="8" t="s">
        <v>30</v>
      </c>
    </row>
    <row r="30" spans="1:2" x14ac:dyDescent="0.25">
      <c r="A30" t="s">
        <v>31</v>
      </c>
      <c r="B30" s="11">
        <v>5541952000</v>
      </c>
    </row>
    <row r="31" spans="1:2" x14ac:dyDescent="0.25">
      <c r="A31" t="s">
        <v>32</v>
      </c>
      <c r="B31" s="13">
        <v>541080000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-0.06265464401169851</v>
      </c>
      <c r="C5" s="10">
        <f>Assumptions!B6</f>
        <v>-0.06265464401169851</v>
      </c>
      <c r="D5" s="10">
        <f>Assumptions!B6</f>
        <v>-0.06265464401169851</v>
      </c>
      <c r="E5" s="10">
        <f>Assumptions!B6</f>
        <v>-0.06265464401169851</v>
      </c>
      <c r="F5" s="10">
        <f>Assumptions!B6</f>
        <v>-0.06265464401169851</v>
      </c>
    </row>
    <row r="6" spans="1:6" x14ac:dyDescent="0.25">
      <c r="A6" t="s">
        <v>43</v>
      </c>
      <c r="B6" s="18">
        <f>Assumptions!B29*(1+B5)</f>
        <v>1555540553.1336381</v>
      </c>
      <c r="C6" s="18">
        <f>B6*(1+C5)</f>
        <v>1458078713.5312893</v>
      </c>
      <c r="D6" s="18">
        <f>C6*(1+D5)</f>
        <v>1366723310.793951</v>
      </c>
      <c r="E6" s="18">
        <f>D6*(1+E5)</f>
        <v>1281091748.2936661</v>
      </c>
      <c r="F6" s="18">
        <f>E6*(1+F5)</f>
        <v>1200825400.858002</v>
      </c>
    </row>
    <row r="7" spans="1:6" x14ac:dyDescent="0.25">
      <c r="A7" t="s">
        <v>5</v>
      </c>
      <c r="B7" s="10">
        <f>Assumptions!B7</f>
        <v>0.46030067304692945</v>
      </c>
      <c r="C7" s="10">
        <f>Assumptions!B7</f>
        <v>0.46030067304692945</v>
      </c>
      <c r="D7" s="10">
        <f>Assumptions!B7</f>
        <v>0.46030067304692945</v>
      </c>
      <c r="E7" s="10">
        <f>Assumptions!B7</f>
        <v>0.46030067304692945</v>
      </c>
      <c r="F7" s="10">
        <f>Assumptions!B7</f>
        <v>0.46030067304692945</v>
      </c>
    </row>
    <row r="8" spans="1:6" x14ac:dyDescent="0.25">
      <c r="A8" t="s">
        <v>44</v>
      </c>
      <c r="B8" s="18">
        <f>B6*B7</f>
        <v>716016363.5592066</v>
      </c>
      <c r="C8" s="18">
        <f>C6*C7</f>
        <v>671154613.1938535</v>
      </c>
      <c r="D8" s="18">
        <f>D6*D7</f>
        <v>629103659.8273834</v>
      </c>
      <c r="E8" s="18">
        <f>E6*E7</f>
        <v>589687393.974442</v>
      </c>
      <c r="F8" s="18">
        <f>F6*F7</f>
        <v>552740740.2267872</v>
      </c>
    </row>
    <row r="9" spans="1:6" x14ac:dyDescent="0.25">
      <c r="A9" t="s">
        <v>45</v>
      </c>
      <c r="B9" s="18">
        <f>B8*(1-Assumptions!B8)</f>
        <v>558280327.077239</v>
      </c>
      <c r="C9" s="18">
        <f>C8*(1-Assumptions!B8)</f>
        <v>523301471.92547995</v>
      </c>
      <c r="D9" s="18">
        <f>D8*(1-Assumptions!B8)</f>
        <v>490514204.49119115</v>
      </c>
      <c r="E9" s="18">
        <f>E8*(1-Assumptions!B8)</f>
        <v>459781211.6261141</v>
      </c>
      <c r="F9" s="18">
        <f>F8*(1-Assumptions!B8)</f>
        <v>430973783.48841256</v>
      </c>
    </row>
    <row r="10" spans="1:6" x14ac:dyDescent="0.25">
      <c r="A10" t="s">
        <v>46</v>
      </c>
      <c r="B10" s="18">
        <f>B6*Assumptions!B9</f>
        <v>422639181.56843954</v>
      </c>
      <c r="C10" s="18">
        <f>C6*Assumptions!B9</f>
        <v>396158874.1018733</v>
      </c>
      <c r="D10" s="18">
        <f>D6*Assumptions!B9</f>
        <v>371337680.87294513</v>
      </c>
      <c r="E10" s="18">
        <f>E6*Assumptions!B9</f>
        <v>348071650.66972107</v>
      </c>
      <c r="F10" s="18">
        <f>F6*Assumptions!B9</f>
        <v>326263345.3064454</v>
      </c>
    </row>
    <row r="11" spans="1:6" x14ac:dyDescent="0.25">
      <c r="A11" t="s">
        <v>47</v>
      </c>
      <c r="B11" s="18">
        <f>-B6*Assumptions!B10</f>
        <v>-883958174.7248924</v>
      </c>
      <c r="C11" s="18">
        <f>-C6*Assumptions!B10</f>
        <v>-828574089.9662734</v>
      </c>
      <c r="D11" s="18">
        <f>-D6*Assumptions!B10</f>
        <v>-776660075.3221195</v>
      </c>
      <c r="E11" s="18">
        <f>-E6*Assumptions!B10</f>
        <v>-727998714.7847131</v>
      </c>
      <c r="F11" s="18">
        <f>-F6*Assumptions!B10</f>
        <v>-682386214.4689028</v>
      </c>
    </row>
    <row r="12" spans="1:6" x14ac:dyDescent="0.25">
      <c r="A12" t="s">
        <v>48</v>
      </c>
      <c r="B12" s="18">
        <f>-(B6-Assumptions!B29)*Assumptions!B11</f>
        <v>-103976446.86636186</v>
      </c>
      <c r="C12" s="18">
        <f>-(C6-B6)*Assumptions!B11</f>
        <v>-97461839.6023488</v>
      </c>
      <c r="D12" s="18">
        <f>-(D6-C6)*Assumptions!B11</f>
        <v>-91355402.7373383</v>
      </c>
      <c r="E12" s="18">
        <f>-(E6-D6)*Assumptions!B11</f>
        <v>-85631562.50028491</v>
      </c>
      <c r="F12" s="18">
        <f>-(F6-E6)*Assumptions!B11</f>
        <v>-80266347.43566418</v>
      </c>
    </row>
    <row r="13" spans="1:6" x14ac:dyDescent="0.25">
      <c r="A13" s="19" t="s">
        <v>49</v>
      </c>
      <c r="B13" s="20">
        <f>B9+B10+B11+B12</f>
        <v>-7015112.945575714</v>
      </c>
      <c r="C13" s="20">
        <f>C9+C10+C11+C12</f>
        <v>-6575583.541268945</v>
      </c>
      <c r="D13" s="20">
        <f>D9+D10+D11+D12</f>
        <v>-6163592.69532156</v>
      </c>
      <c r="E13" s="20">
        <f>E9+E10+E11+E12</f>
        <v>-5777414.989162922</v>
      </c>
      <c r="F13" s="20">
        <f>F9+F10+F11+F12</f>
        <v>-5415433.109709024</v>
      </c>
    </row>
    <row r="14" spans="1:6" x14ac:dyDescent="0.25">
      <c r="A14" t="s">
        <v>50</v>
      </c>
      <c r="B14" s="21">
        <f>1/(1+Assumptions!$B$26)^(1-0.5*Assumptions!$B$32)</f>
        <v>0.9706534998003513</v>
      </c>
      <c r="C14" s="21">
        <f>1/(1+Assumptions!$B$26)^(2-0.5*Assumptions!$B$32)</f>
        <v>0.9145188769159247</v>
      </c>
      <c r="D14" s="21">
        <f>1/(1+Assumptions!$B$26)^(3-0.5*Assumptions!$B$32)</f>
        <v>0.8616306193791993</v>
      </c>
      <c r="E14" s="21">
        <f>1/(1+Assumptions!$B$26)^(4-0.5*Assumptions!$B$32)</f>
        <v>0.811800984092792</v>
      </c>
      <c r="F14" s="21">
        <f>1/(1+Assumptions!$B$26)^(5-0.5*Assumptions!$B$32)</f>
        <v>0.7648530854774483</v>
      </c>
    </row>
    <row r="15" spans="1:6" x14ac:dyDescent="0.25">
      <c r="A15" s="19" t="s">
        <v>51</v>
      </c>
      <c r="B15" s="20">
        <f>B13*B14</f>
        <v>-6809243.932117818</v>
      </c>
      <c r="C15" s="20">
        <f>C13*C14</f>
        <v>-6013495.275228115</v>
      </c>
      <c r="D15" s="20">
        <f>D13*D14</f>
        <v>-5310740.191671024</v>
      </c>
      <c r="E15" s="20">
        <f>E13*E14</f>
        <v>-4690111.173714907</v>
      </c>
      <c r="F15" s="20">
        <f>F13*F14</f>
        <v>-4142010.7231576806</v>
      </c>
    </row>
    <row r="17" spans="1:2" x14ac:dyDescent="0.25">
      <c r="A17" s="22" t="s">
        <v>52</v>
      </c>
      <c r="B17" s="23">
        <f>SUM(B15:F15)</f>
        <v>-26965601.295889545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-5415433.109709024</v>
      </c>
    </row>
    <row r="5" spans="1:2" x14ac:dyDescent="0.25">
      <c r="A5" t="s">
        <v>56</v>
      </c>
      <c r="B5" s="18">
        <f>IF(Assumptions!$B$33=0,B4,B4-Forecast!F11-Forecast!F10-Forecast!F12)</f>
        <v>430973783.48841256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0.40728824294357113</v>
      </c>
    </row>
    <row r="7" spans="1:2" x14ac:dyDescent="0.25">
      <c r="A7" t="s">
        <v>58</v>
      </c>
      <c r="B7" s="18">
        <f>-MAX(Forecast!F9,0)*B6</f>
        <v>-175530555.0317386</v>
      </c>
    </row>
    <row r="8" spans="1:2" x14ac:dyDescent="0.25">
      <c r="A8" t="s">
        <v>59</v>
      </c>
      <c r="B8" s="18">
        <f>IF(OR(Assumptions!$B$33=0,Assumptions!B12&lt;=0),B5,MAX(B5+B7,0))</f>
        <v>255443228.45667395</v>
      </c>
    </row>
    <row r="9" spans="1:2" x14ac:dyDescent="0.25">
      <c r="A9" t="s">
        <v>60</v>
      </c>
      <c r="B9" s="18">
        <f>B8*(1+Assumptions!B12)/(Assumptions!B26-Assumptions!B12)</f>
        <v>7196752756.301281</v>
      </c>
    </row>
    <row r="10" spans="1:2" x14ac:dyDescent="0.25">
      <c r="A10" t="s">
        <v>61</v>
      </c>
      <c r="B10" s="18">
        <f>B9/(1+Assumptions!B26)^(5-0.5*Assumptions!B32)</f>
        <v>5504458551.075366</v>
      </c>
    </row>
    <row r="11" spans="1:2" x14ac:dyDescent="0.25">
      <c r="A11" t="s">
        <v>62</v>
      </c>
      <c r="B11" s="18">
        <f>Forecast!B17+B10</f>
        <v>5477492949.779476</v>
      </c>
    </row>
    <row r="12" spans="1:2" x14ac:dyDescent="0.25">
      <c r="A12" t="s">
        <v>63</v>
      </c>
      <c r="B12" s="18">
        <f>-Assumptions!B30</f>
        <v>-5541952000</v>
      </c>
    </row>
    <row r="13" spans="1:2" x14ac:dyDescent="0.25">
      <c r="A13" t="s">
        <v>64</v>
      </c>
      <c r="B13" s="18">
        <f>B11+B12</f>
        <v>-64459050.220523834</v>
      </c>
    </row>
    <row r="14" spans="1:2" x14ac:dyDescent="0.25">
      <c r="A14" s="19" t="s">
        <v>65</v>
      </c>
      <c r="B14" s="24">
        <f>B13/Assumptions!B31</f>
        <v>-0.11913035081785288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879004085.5332327</v>
      </c>
    </row>
    <row r="18" spans="1:2" x14ac:dyDescent="0.25">
      <c r="A18" t="s">
        <v>60</v>
      </c>
      <c r="B18" s="18">
        <f>B17*Assumptions!B13</f>
        <v>9831304733.03471</v>
      </c>
    </row>
    <row r="19" spans="1:2" x14ac:dyDescent="0.25">
      <c r="A19" t="s">
        <v>61</v>
      </c>
      <c r="B19" s="18">
        <f>B18/(1+Assumptions!B26)^(5-0.5*Assumptions!B32)</f>
        <v>7519503759.33064</v>
      </c>
    </row>
    <row r="20" spans="1:2" x14ac:dyDescent="0.25">
      <c r="A20" t="s">
        <v>62</v>
      </c>
      <c r="B20" s="18">
        <f>Forecast!B17+B19</f>
        <v>7492538158.03475</v>
      </c>
    </row>
    <row r="21" spans="1:2" x14ac:dyDescent="0.25">
      <c r="A21" t="s">
        <v>63</v>
      </c>
      <c r="B21" s="18">
        <f>-Assumptions!B30</f>
        <v>-5541952000</v>
      </c>
    </row>
    <row r="22" spans="1:2" x14ac:dyDescent="0.25">
      <c r="A22" t="s">
        <v>64</v>
      </c>
      <c r="B22" s="18">
        <f>B20+B21</f>
        <v>1950586158.03475</v>
      </c>
    </row>
    <row r="23" spans="1:2" x14ac:dyDescent="0.25">
      <c r="A23" s="19" t="s">
        <v>65</v>
      </c>
      <c r="B23" s="25">
        <f>B22/Assumptions!B31</f>
        <v>3.604986615721797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15.11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-0.11913035081785288</v>
      </c>
    </row>
    <row r="29" spans="1:2" x14ac:dyDescent="0.25">
      <c r="A29" s="19" t="s">
        <v>73</v>
      </c>
      <c r="B29" s="12">
        <f>B28/B26-1</f>
        <v>-1.0078842058780841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0.041382</v>
      </c>
      <c r="B5" s="31">
        <v>8.523051689291842</v>
      </c>
      <c r="C5" s="31">
        <v>10.262151084878075</v>
      </c>
      <c r="D5" s="31">
        <v>13.027325179513705</v>
      </c>
      <c r="E5" s="31">
        <v>18.17080736677995</v>
      </c>
      <c r="F5" s="31">
        <v>31.282478779465777</v>
      </c>
    </row>
    <row r="6" spans="1:6" x14ac:dyDescent="0.25">
      <c r="A6" s="30">
        <v>0.051382</v>
      </c>
      <c r="B6" s="31">
        <v>2.777594249333397</v>
      </c>
      <c r="C6" s="31">
        <v>3.1232624149380657</v>
      </c>
      <c r="D6" s="31">
        <v>3.578828819264283</v>
      </c>
      <c r="E6" s="31">
        <v>4.221389785426067</v>
      </c>
      <c r="F6" s="31">
        <v>5.222164848738595</v>
      </c>
    </row>
    <row r="7" spans="1:6" x14ac:dyDescent="0.25">
      <c r="A7" s="30">
        <v>0.061382</v>
      </c>
      <c r="B7" s="31">
        <v>-0.21846478927350496</v>
      </c>
      <c r="C7" s="31">
        <v>-0.16884035041490345</v>
      </c>
      <c r="D7" s="32">
        <v>-0.11921591155630896</v>
      </c>
      <c r="E7" s="31">
        <v>-0.06959147269771097</v>
      </c>
      <c r="F7" s="31">
        <v>-0.01996703383911649</v>
      </c>
    </row>
    <row r="8" spans="1:6" x14ac:dyDescent="0.25">
      <c r="A8" s="30">
        <v>0.071382</v>
      </c>
      <c r="B8" s="31">
        <v>-1.9866182281930562</v>
      </c>
      <c r="C8" s="31">
        <v>-1.9457090167595787</v>
      </c>
      <c r="D8" s="31">
        <v>-1.9047998053261013</v>
      </c>
      <c r="E8" s="31">
        <v>-1.8638905938926236</v>
      </c>
      <c r="F8" s="31">
        <v>-1.8229813824591479</v>
      </c>
    </row>
    <row r="9" spans="1:6" x14ac:dyDescent="0.25">
      <c r="A9" s="30">
        <v>0.081382</v>
      </c>
      <c r="B9" s="31">
        <v>-3.304312366100599</v>
      </c>
      <c r="C9" s="31">
        <v>-3.269899178389033</v>
      </c>
      <c r="D9" s="31">
        <v>-3.2354859906774727</v>
      </c>
      <c r="E9" s="31">
        <v>-3.2010728029659083</v>
      </c>
      <c r="F9" s="31">
        <v>-3.166659615254346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1659517000</v>
      </c>
      <c r="C5" s="18">
        <v>1594204000</v>
      </c>
      <c r="D5" s="18">
        <v>1818791000</v>
      </c>
      <c r="E5" s="18">
        <v>2015036000</v>
      </c>
      <c r="F5" s="8" t="s">
        <v>84</v>
      </c>
    </row>
    <row r="6" spans="1:6" x14ac:dyDescent="0.25">
      <c r="A6" t="s">
        <v>44</v>
      </c>
      <c r="B6" s="18">
        <v>750682000</v>
      </c>
      <c r="C6" s="18">
        <v>708411000</v>
      </c>
      <c r="D6" s="18">
        <v>894971000</v>
      </c>
      <c r="E6" s="18">
        <v>911637000</v>
      </c>
      <c r="F6" s="8" t="s">
        <v>85</v>
      </c>
    </row>
    <row r="7" spans="1:6" x14ac:dyDescent="0.25">
      <c r="A7" t="s">
        <v>86</v>
      </c>
      <c r="B7" s="18">
        <v>473792000</v>
      </c>
      <c r="C7" s="18">
        <v>461691000</v>
      </c>
      <c r="D7" s="18">
        <v>438744000</v>
      </c>
      <c r="E7" s="18">
        <v>544992000</v>
      </c>
      <c r="F7" s="8" t="s">
        <v>87</v>
      </c>
    </row>
    <row r="8" spans="1:6" x14ac:dyDescent="0.25">
      <c r="A8" t="s">
        <v>88</v>
      </c>
      <c r="B8" s="18">
        <v>1407063000</v>
      </c>
      <c r="C8" s="18">
        <v>1078626000</v>
      </c>
      <c r="D8" s="18">
        <v>877563000</v>
      </c>
      <c r="E8" s="18">
        <v>536185000</v>
      </c>
      <c r="F8" s="8" t="s">
        <v>89</v>
      </c>
    </row>
    <row r="9" spans="1:6" x14ac:dyDescent="0.25">
      <c r="A9" t="s">
        <v>90</v>
      </c>
      <c r="B9" s="18">
        <v>21265000</v>
      </c>
      <c r="C9" s="18">
        <v>231736000</v>
      </c>
      <c r="D9" s="18">
        <v>644632000</v>
      </c>
      <c r="E9" s="18">
        <v>-574568000</v>
      </c>
      <c r="F9" s="8" t="s">
        <v>91</v>
      </c>
    </row>
    <row r="10" spans="1:6" x14ac:dyDescent="0.25">
      <c r="A10" t="s">
        <v>92</v>
      </c>
      <c r="B10" s="18">
        <v>6144376000</v>
      </c>
      <c r="C10" s="18">
        <v>6416907000</v>
      </c>
      <c r="D10" s="18">
        <v>5795654000</v>
      </c>
      <c r="E10" s="18">
        <v>6238849000</v>
      </c>
      <c r="F10" s="8" t="s">
        <v>93</v>
      </c>
    </row>
    <row r="11" spans="1:6" x14ac:dyDescent="0.25">
      <c r="A11" t="s">
        <v>94</v>
      </c>
      <c r="B11" s="18">
        <v>602424000</v>
      </c>
      <c r="C11" s="18">
        <v>923256000</v>
      </c>
      <c r="D11" s="18">
        <v>714660000</v>
      </c>
      <c r="E11" s="18">
        <v>1547329000</v>
      </c>
      <c r="F11" s="8" t="s">
        <v>95</v>
      </c>
    </row>
    <row r="12" spans="1:6" x14ac:dyDescent="0.25">
      <c r="A12" t="s">
        <v>32</v>
      </c>
      <c r="B12" s="34">
        <v>541080000</v>
      </c>
      <c r="C12" s="34">
        <v>541080000</v>
      </c>
      <c r="D12" s="34">
        <v>541080000</v>
      </c>
      <c r="E12" s="34">
        <v>541080000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2026-09-19T01:04:55Z</dcterms:modified>
</cp:coreProperties>
</file>