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<sst xmlns="http://schemas.openxmlformats.org/spreadsheetml/2006/main" count="120" uniqueCount="107">
  <si>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Regency Centers Corporation (REG)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</si>
  <si>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</si>
  <si>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</si>
  <si>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</si>
  <si>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</si>
  <si>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</si>
  <si>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</si>
  <si>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</si>
  <si>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</si>
  <si>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</si>
  <si>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</si>
  <si>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</si>
  <si>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</si>
  <si>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</si>
  <si>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</si>
  <si>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</si>
  <si>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</si>
  <si>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</si>
  <si>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</si>
  <si>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</si>
  <si>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</si>
  <si>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</si>
  <si>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</si>
  <si>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</si>
  <si>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+ 111bp, the spread for a BBB rating at 2.8x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</si>
  <si>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</si>
  <si>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</si>
  <si>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</si>
  <si>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</si>
  <si>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</si>
  <si>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</si>
  <si>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</si>
  <si>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</si>
  <si>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</si>
  <si>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</si>
  <si>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</si>
  <si>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</si>
  <si>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</si>
  <si>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</si>
  <si>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</si>
  <si>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</si>
  <si>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</si>
  <si>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</si>
  <si>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</si>
  <si>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</si>
  <si>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</si>
  <si>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</si>
  <si>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</si>
  <si>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</si>
  <si>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</si>
  <si>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</si>
  <si>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</si>
  <si>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</si>
  <si>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</si>
  <si>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</si>
  <si>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</si>
  <si>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</si>
  <si>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</si>
  <si>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</si>
  <si>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</si>
  <si>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</si>
  <si>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</si>
  <si>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</si>
  <si>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</si>
  <si>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</si>
  <si>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</si>
  <si>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</si>
  <si>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</si>
  <si>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</si>
  <si>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</si>
  <si>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</si>
  <si>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</si>
  <si>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</si>
  <si>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</si>
  <si>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</si>
  <si>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</si>
  <si>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</si>
  <si>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</si>
  <si>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</si>
  <si>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</si>
  <si>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</si>
  <si>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</si>
  <si>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</si>
  <si>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</si>
  <si>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</si>
  <si>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</si>
  <si>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</si>
  <si>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</si>
  <si>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</si>
  <si>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</si>
  <si>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</si>
  <si>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</si>
  <si>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</si>
  <si>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</si>
  <si>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</si>
  <si>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</si>
  <si>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</si>
  <si>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</si>
  <si>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</si>
  <si>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</si>
  <si>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</si>
  <si>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</si>
  <si>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</si>
  <si>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</si>
  <si>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</si>
  <si>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26.49%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</si>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</sst>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0.0522651919120658</v>
      </c>
    </row>
    <row r="7" spans="1:2" x14ac:dyDescent="0.25">
      <c r="A7" t="s">
        <v>4</v>
      </c>
      <c r="B7" s="5">
        <v>0.36714564882726064</v>
      </c>
    </row>
    <row r="8" spans="1:2" x14ac:dyDescent="0.25">
      <c r="A8" t="s">
        <v>5</v>
      </c>
      <c r="B8" s="5">
        <v>0</v>
      </c>
    </row>
    <row r="9" spans="1:2" x14ac:dyDescent="0.25">
      <c r="A9" t="s">
        <v>6</v>
      </c>
      <c r="B9" s="5">
        <v>0.24765962633273236</v>
      </c>
    </row>
    <row r="10" spans="1:3" x14ac:dyDescent="0.25">
      <c r="A10" t="s">
        <v>7</v>
      </c>
      <c r="B10" s="5">
        <v>0.26494496339035384</v>
      </c>
      <c r="C10" s="6" t="s">
        <v>8</v>
      </c>
    </row>
    <row r="11" spans="1:2" x14ac:dyDescent="0.25">
      <c r="A11" t="s">
        <v>9</v>
      </c>
      <c r="B11" s="5">
        <v>-0.13296577816060096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19.857465881288316</v>
      </c>
    </row>
    <row r="14" spans="1:3" x14ac:dyDescent="0.25">
      <c r="A14" t="s">
        <v>12</v>
      </c>
      <c r="B14" s="5">
        <v>0.07897535227901285</v>
      </c>
      <c r="C14" s="6" t="s">
        <v>13</v>
      </c>
    </row>
    <row r="15" spans="1:3" x14ac:dyDescent="0.25">
      <c r="A15" t="s">
        <v>14</v>
      </c>
      <c r="B15" s="5">
        <v>0.26494496339035384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0.8814099999999999</v>
      </c>
      <c r="C19" s="6" t="s">
        <v>21</v>
      </c>
    </row>
    <row r="20" spans="1:2" x14ac:dyDescent="0.25">
      <c r="A20" t="s">
        <v>22</v>
      </c>
      <c r="B20" s="9">
        <f>B17+B19*B18</f>
        <v>0.08622364299999999</v>
      </c>
    </row>
    <row r="21" spans="1:3" x14ac:dyDescent="0.25">
      <c r="A21" t="s">
        <v>23</v>
      </c>
      <c r="B21" s="5">
        <v>0.06004</v>
      </c>
      <c r="C21" s="6" t="s">
        <v>24</v>
      </c>
    </row>
    <row r="22" spans="1:2" x14ac:dyDescent="0.25">
      <c r="A22" t="s">
        <v>25</v>
      </c>
      <c r="B22" s="10">
        <v>13945251840</v>
      </c>
    </row>
    <row r="23" spans="1:2" x14ac:dyDescent="0.25">
      <c r="A23" t="s">
        <v>26</v>
      </c>
      <c r="B23" s="10">
        <v>5338123000</v>
      </c>
    </row>
    <row r="24" spans="1:2" x14ac:dyDescent="0.25">
      <c r="A24" t="s">
        <v>27</v>
      </c>
      <c r="B24" s="9">
        <f>B22/(B22+B23)</f>
        <v>0.7231748568758309</v>
      </c>
    </row>
    <row r="25" spans="1:2" x14ac:dyDescent="0.25">
      <c r="A25" t="s">
        <v>28</v>
      </c>
      <c r="B25" s="9">
        <f>1-B24</f>
        <v>0.27682514312416906</v>
      </c>
    </row>
    <row r="26" spans="1:2" x14ac:dyDescent="0.25">
      <c r="A26" t="s">
        <v>29</v>
      </c>
      <c r="B26" s="11">
        <f>B24*B20+B25*B21*(1-B8)</f>
        <v>0.07897535227901285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1553524000</v>
      </c>
      <c r="C29" s="6" t="s">
        <v>32</v>
      </c>
    </row>
    <row r="30" spans="1:2" x14ac:dyDescent="0.25">
      <c r="A30" t="s">
        <v>33</v>
      </c>
      <c r="B30" s="10">
        <v>5233466000</v>
      </c>
    </row>
    <row r="31" spans="1:2" x14ac:dyDescent="0.25">
      <c r="A31" t="s">
        <v>34</v>
      </c>
      <c r="B31" s="12">
        <v>182234000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0.0522651919120658</v>
      </c>
      <c r="C5" s="5">
        <v>0.04260528580189282</v>
      </c>
      <c r="D5" s="5">
        <v>0.04040462507665622</v>
      </c>
      <c r="E5" s="5">
        <v>0.038203964351419616</v>
      </c>
      <c r="F5" s="5">
        <v>0.036003303626183016</v>
      </c>
      <c r="G5" s="5">
        <v>0.03380264290094641</v>
      </c>
      <c r="H5" s="5">
        <v>0.03160198217570981</v>
      </c>
      <c r="I5" s="5">
        <v>0.02940132145047321</v>
      </c>
      <c r="J5" s="5">
        <v>0.027200660725236605</v>
      </c>
      <c r="K5" s="5">
        <v>0.025</v>
      </c>
    </row>
    <row r="6" spans="1:11" x14ac:dyDescent="0.25">
      <c r="A6" t="s">
        <v>50</v>
      </c>
      <c r="B6" s="18">
        <f>Assumptions!B29*(1+B5)</f>
        <v>1634719230</v>
      </c>
      <c r="C6" s="18">
        <f>B6*(1+C5)</f>
        <v>1704366910.0000002</v>
      </c>
      <c r="D6" s="18">
        <f>C6*(1+D5)</f>
        <v>1773231215.9916096</v>
      </c>
      <c r="E6" s="18">
        <f>D6*(1+E5)</f>
        <v>1840975678.1541774</v>
      </c>
      <c r="F6" s="18">
        <f>E6*(1+F5)</f>
        <v>1907256884.4631805</v>
      </c>
      <c r="G6" s="18">
        <f>F6*(1+G5)</f>
        <v>1971727207.849061</v>
      </c>
      <c r="H6" s="18">
        <f>G6*(1+H5)</f>
        <v>2034037695.9268692</v>
      </c>
      <c r="I6" s="18">
        <f>H6*(1+I5)</f>
        <v>2093841092.0671947</v>
      </c>
      <c r="J6" s="18">
        <f>I6*(1+J5)</f>
        <v>2150794953.2250733</v>
      </c>
      <c r="K6" s="18">
        <f>J6*(1+K5)</f>
        <v>2204564827.0557</v>
      </c>
    </row>
    <row r="7" spans="1:11" x14ac:dyDescent="0.25">
      <c r="A7" t="s">
        <v>4</v>
      </c>
      <c r="B7" s="9">
        <f>Assumptions!B7</f>
        <v>0.36714564882726064</v>
      </c>
      <c r="C7" s="9">
        <f>Assumptions!B7</f>
        <v>0.36714564882726064</v>
      </c>
      <c r="D7" s="9">
        <f>Assumptions!B7</f>
        <v>0.36714564882726064</v>
      </c>
      <c r="E7" s="9">
        <f>Assumptions!B7</f>
        <v>0.36714564882726064</v>
      </c>
      <c r="F7" s="9">
        <f>Assumptions!B7</f>
        <v>0.36714564882726064</v>
      </c>
      <c r="G7" s="9">
        <f>Assumptions!B7</f>
        <v>0.36714564882726064</v>
      </c>
      <c r="H7" s="9">
        <f>Assumptions!B7</f>
        <v>0.36714564882726064</v>
      </c>
      <c r="I7" s="9">
        <f>Assumptions!B7</f>
        <v>0.36714564882726064</v>
      </c>
      <c r="J7" s="9">
        <f>Assumptions!B7</f>
        <v>0.36714564882726064</v>
      </c>
      <c r="K7" s="9">
        <f>Assumptions!B7</f>
        <v>0.36714564882726064</v>
      </c>
    </row>
    <row r="8" spans="1:11" x14ac:dyDescent="0.25">
      <c r="A8" t="s">
        <v>51</v>
      </c>
      <c r="B8" s="18">
        <f>B6*B7</f>
        <v>600180052.3487499</v>
      </c>
      <c r="C8" s="18">
        <f>C6*C7</f>
        <v>625750895.0116634</v>
      </c>
      <c r="D8" s="18">
        <f>D6*D7</f>
        <v>651034125.3159919</v>
      </c>
      <c r="E8" s="18">
        <f>E6*E7</f>
        <v>675906209.8311217</v>
      </c>
      <c r="F8" s="18">
        <f>F6*F7</f>
        <v>700241066.3264941</v>
      </c>
      <c r="G8" s="18">
        <f>G6*G7</f>
        <v>723911065.0361065</v>
      </c>
      <c r="H8" s="18">
        <f>H6*H7</f>
        <v>746788089.6101767</v>
      </c>
      <c r="I8" s="18">
        <f>I6*I7</f>
        <v>768744646.2881901</v>
      </c>
      <c r="J8" s="18">
        <f>J6*J7</f>
        <v>789655008.5962173</v>
      </c>
      <c r="K8" s="18">
        <f>K6*K7</f>
        <v>809396383.8111225</v>
      </c>
    </row>
    <row r="9" spans="1:11" x14ac:dyDescent="0.25">
      <c r="A9" t="s">
        <v>52</v>
      </c>
      <c r="B9" s="18">
        <f>B8*(1-Assumptions!B8)</f>
        <v>600180052.3487499</v>
      </c>
      <c r="C9" s="18">
        <f>C8*(1-Assumptions!B8)</f>
        <v>625750895.0116634</v>
      </c>
      <c r="D9" s="18">
        <f>D8*(1-Assumptions!B8)</f>
        <v>651034125.3159919</v>
      </c>
      <c r="E9" s="18">
        <f>E8*(1-Assumptions!B8)</f>
        <v>675906209.8311217</v>
      </c>
      <c r="F9" s="18">
        <f>F8*(1-Assumptions!B8)</f>
        <v>700241066.3264941</v>
      </c>
      <c r="G9" s="18">
        <f>G8*(1-Assumptions!B8)</f>
        <v>723911065.0361065</v>
      </c>
      <c r="H9" s="18">
        <f>H8*(1-Assumptions!B8)</f>
        <v>746788089.6101767</v>
      </c>
      <c r="I9" s="18">
        <f>I8*(1-Assumptions!B8)</f>
        <v>768744646.2881901</v>
      </c>
      <c r="J9" s="18">
        <f>J8*(1-Assumptions!B8)</f>
        <v>789655008.5962173</v>
      </c>
      <c r="K9" s="18">
        <f>K8*(1-Assumptions!B8)</f>
        <v>809396383.8111225</v>
      </c>
    </row>
    <row r="10" spans="1:11" x14ac:dyDescent="0.25">
      <c r="A10" t="s">
        <v>53</v>
      </c>
      <c r="B10" s="18">
        <f>B6*Assumptions!B9</f>
        <v>404853953.660732</v>
      </c>
      <c r="C10" s="18">
        <f>C6*Assumptions!B9</f>
        <v>422102872.06447375</v>
      </c>
      <c r="D10" s="18">
        <f>D6*Assumptions!B9</f>
        <v>439157780.3540187</v>
      </c>
      <c r="E10" s="18">
        <f>E6*Assumptions!B9</f>
        <v>455935348.5393121</v>
      </c>
      <c r="F10" s="18">
        <f>F6*Assumptions!B9</f>
        <v>472350527.32668257</v>
      </c>
      <c r="G10" s="18">
        <f>G6*Assumptions!B9</f>
        <v>488317223.5259802</v>
      </c>
      <c r="H10" s="18">
        <f>H6*Assumptions!B9</f>
        <v>503749015.7199403</v>
      </c>
      <c r="I10" s="18">
        <f>I6*Assumptions!B9</f>
        <v>518559902.4614817</v>
      </c>
      <c r="J10" s="18">
        <f>J6*Assumptions!B9</f>
        <v>532665074.43404824</v>
      </c>
      <c r="K10" s="18">
        <f>K6*Assumptions!B9</f>
        <v>545981701.2948993</v>
      </c>
    </row>
    <row r="11" spans="1:11" x14ac:dyDescent="0.25">
      <c r="A11" t="s">
        <v>54</v>
      </c>
      <c r="B11" s="18">
        <f>-B6*B19</f>
        <v>-433110626.5458574</v>
      </c>
      <c r="C11" s="18">
        <f>-C6*C19</f>
        <v>-470299393.04071665</v>
      </c>
      <c r="D11" s="18">
        <f>-D6*D19</f>
        <v>-508794647.7770822</v>
      </c>
      <c r="E11" s="18">
        <f>-E6*E19</f>
        <v>-548470313.7188812</v>
      </c>
      <c r="F11" s="18">
        <f>-F6*F19</f>
        <v>-589183374.1281674</v>
      </c>
      <c r="G11" s="18">
        <f>-G6*G19</f>
        <v>-630774363.4339122</v>
      </c>
      <c r="H11" s="18">
        <f>-H6*H19</f>
        <v>-673068091.7724656</v>
      </c>
      <c r="I11" s="18">
        <f>-I6*I19</f>
        <v>-715874605.0323515</v>
      </c>
      <c r="J11" s="18">
        <f>-J6*J19</f>
        <v>-758990378.3061172</v>
      </c>
      <c r="K11" s="18">
        <f>-K6*K19</f>
        <v>-802199736.5597494</v>
      </c>
    </row>
    <row r="12" spans="1:11" x14ac:dyDescent="0.25">
      <c r="A12" t="s">
        <v>55</v>
      </c>
      <c r="B12" s="18">
        <f>-(B6-Assumptions!B29)*Assumptions!B11</f>
        <v>10796186.939878972</v>
      </c>
      <c r="C12" s="18">
        <f>-(C6-B6)*Assumptions!B11</f>
        <v>9260757.968280556</v>
      </c>
      <c r="D12" s="18">
        <f>-(D6-C6)*Assumptions!B11</f>
        <v>9156596.03366407</v>
      </c>
      <c r="E12" s="18">
        <f>-(E6-D6)*Assumptions!B11</f>
        <v>9007695.127517223</v>
      </c>
      <c r="F12" s="18">
        <f>-(F6-E6)*Assumptions!B11</f>
        <v>8813132.174299933</v>
      </c>
      <c r="G12" s="18">
        <f>-(G6-F6)*Assumptions!B11</f>
        <v>8572346.717269186</v>
      </c>
      <c r="H12" s="18">
        <f>-(H6-G6)*Assumptions!B11</f>
        <v>8285162.534832608</v>
      </c>
      <c r="I12" s="18">
        <f>-(I6-H6)*Assumptions!B11</f>
        <v>7951805.104445066</v>
      </c>
      <c r="J12" s="18">
        <f>-(J6-I6)*Assumptions!B11</f>
        <v>7572914.468108159</v>
      </c>
      <c r="K12" s="18">
        <f>-(K6-J6)*Assumptions!B11</f>
        <v>7149553.115486585</v>
      </c>
    </row>
    <row r="13" spans="1:11" x14ac:dyDescent="0.25">
      <c r="A13" s="19" t="s">
        <v>56</v>
      </c>
      <c r="B13" s="20">
        <f>B9+B10+B11+B12</f>
        <v>582719566.4035034</v>
      </c>
      <c r="C13" s="20">
        <f>C9+C10+C11+C12</f>
        <v>586815132.0037011</v>
      </c>
      <c r="D13" s="20">
        <f>D9+D10+D11+D12</f>
        <v>590553853.9265925</v>
      </c>
      <c r="E13" s="20">
        <f>E9+E10+E11+E12</f>
        <v>592378939.7790698</v>
      </c>
      <c r="F13" s="20">
        <f>F9+F10+F11+F12</f>
        <v>592221351.6993093</v>
      </c>
      <c r="G13" s="20">
        <f>G9+G10+G11+G12</f>
        <v>590026271.8454436</v>
      </c>
      <c r="H13" s="20">
        <f>H9+H10+H11+H12</f>
        <v>585754176.092484</v>
      </c>
      <c r="I13" s="20">
        <f>I9+I10+I11+I12</f>
        <v>579381748.8217655</v>
      </c>
      <c r="J13" s="20">
        <f>J9+J10+J11+J12</f>
        <v>570902619.1922566</v>
      </c>
      <c r="K13" s="20">
        <f>K9+K10+K11+K12</f>
        <v>560327901.6617591</v>
      </c>
    </row>
    <row r="14" spans="1:11" x14ac:dyDescent="0.25">
      <c r="A14" t="s">
        <v>57</v>
      </c>
      <c r="B14" s="21">
        <f>1/(1+Assumptions!$B$26)^(1-0.5*Assumptions!$B$32)</f>
        <v>0.9627072402514469</v>
      </c>
      <c r="C14" s="21">
        <f>1/(1+Assumptions!$B$26)^(2-0.5*Assumptions!$B$32)</f>
        <v>0.8922421056403332</v>
      </c>
      <c r="D14" s="21">
        <f>1/(1+Assumptions!$B$26)^(3-0.5*Assumptions!$B$32)</f>
        <v>0.8269346503196191</v>
      </c>
      <c r="E14" s="21">
        <f>1/(1+Assumptions!$B$26)^(4-0.5*Assumptions!$B$32)</f>
        <v>0.7664073591421406</v>
      </c>
      <c r="F14" s="21">
        <f>1/(1+Assumptions!$B$26)^(5-0.5*Assumptions!$B$32)</f>
        <v>0.7103103490949392</v>
      </c>
      <c r="G14" s="21">
        <f>1/(1+Assumptions!$B$26)^(6-0.5*Assumptions!$B$32)</f>
        <v>0.6583193467715652</v>
      </c>
      <c r="H14" s="21">
        <f>1/(1+Assumptions!$B$26)^(7-0.5*Assumptions!$B$32)</f>
        <v>0.6101338138828309</v>
      </c>
      <c r="I14" s="21">
        <f>1/(1+Assumptions!$B$26)^(8-0.5*Assumptions!$B$32)</f>
        <v>0.565475209970372</v>
      </c>
      <c r="J14" s="21">
        <f>1/(1+Assumptions!$B$26)^(9-0.5*Assumptions!$B$32)</f>
        <v>0.5240853822804893</v>
      </c>
      <c r="K14" s="21">
        <f>1/(1+Assumptions!$B$26)^(10-0.5*Assumptions!$B$32)</f>
        <v>0.4857250734908037</v>
      </c>
    </row>
    <row r="15" spans="1:11" x14ac:dyDescent="0.25">
      <c r="A15" s="19" t="s">
        <v>58</v>
      </c>
      <c r="B15" s="20">
        <f>B13*B14</f>
        <v>560988345.6128366</v>
      </c>
      <c r="C15" s="20">
        <f>C13*C14</f>
        <v>523581169.00059235</v>
      </c>
      <c r="D15" s="20">
        <f>D13*D14</f>
        <v>488349444.69169015</v>
      </c>
      <c r="E15" s="20">
        <f>E13*E14</f>
        <v>454003578.84749806</v>
      </c>
      <c r="F15" s="20">
        <f>F13*F14</f>
        <v>420660955.06701314</v>
      </c>
      <c r="G15" s="20">
        <f>G13*G14</f>
        <v>388425709.8593544</v>
      </c>
      <c r="H15" s="20">
        <f>H13*H14</f>
        <v>357388429.4571026</v>
      </c>
      <c r="I15" s="20">
        <f>I13*I14</f>
        <v>327626016.06798923</v>
      </c>
      <c r="J15" s="20">
        <f>J13*J14</f>
        <v>299201717.4243064</v>
      </c>
      <c r="K15" s="20">
        <f>K13*K14</f>
        <v>272165311.21360576</v>
      </c>
    </row>
    <row r="17" spans="1:2" x14ac:dyDescent="0.25">
      <c r="A17" s="22" t="s">
        <v>59</v>
      </c>
      <c r="B17" s="23">
        <f>SUM(B15:K15)</f>
        <v>4092390677.2419896</v>
      </c>
    </row>
    <row r="19" spans="1:11" x14ac:dyDescent="0.25">
      <c r="A19" t="s">
        <v>7</v>
      </c>
      <c r="B19" s="9">
        <f>Assumptions!$B$10+($B$20-Assumptions!$B$10)*0/9</f>
        <v>0.26494496339035384</v>
      </c>
      <c r="C19" s="9">
        <f>Assumptions!$B$10+($B$20-Assumptions!$B$10)*1/9</f>
        <v>0.2759378806765948</v>
      </c>
      <c r="D19" s="9">
        <f>Assumptions!$B$10+($B$20-Assumptions!$B$10)*2/9</f>
        <v>0.2869307979628358</v>
      </c>
      <c r="E19" s="9">
        <f>Assumptions!$B$10+($B$20-Assumptions!$B$10)*3/9</f>
        <v>0.2979237152490768</v>
      </c>
      <c r="F19" s="9">
        <f>Assumptions!$B$10+($B$20-Assumptions!$B$10)*4/9</f>
        <v>0.30891663253531776</v>
      </c>
      <c r="G19" s="9">
        <f>Assumptions!$B$10+($B$20-Assumptions!$B$10)*5/9</f>
        <v>0.3199095498215588</v>
      </c>
      <c r="H19" s="9">
        <f>Assumptions!$B$10+($B$20-Assumptions!$B$10)*6/9</f>
        <v>0.33090246710779975</v>
      </c>
      <c r="I19" s="9">
        <f>Assumptions!$B$10+($B$20-Assumptions!$B$10)*7/9</f>
        <v>0.3418953843940407</v>
      </c>
      <c r="J19" s="9">
        <f>Assumptions!$B$10+($B$20-Assumptions!$B$10)*8/9</f>
        <v>0.35288830168028174</v>
      </c>
      <c r="K19" s="9">
        <f>Assumptions!$B$10+($B$20-Assumptions!$B$10)*9/9</f>
        <v>0.3638812189665227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0.3638812189665227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560327901.6617591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809396383.8111225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0.31655446007606575</v>
      </c>
    </row>
    <row r="7" spans="1:2" x14ac:dyDescent="0.25">
      <c r="A7" t="s">
        <v>66</v>
      </c>
      <c r="B7" s="18">
        <f>-MAX(B5,0)*B6</f>
        <v>-256218035.26485</v>
      </c>
    </row>
    <row r="8" spans="1:2" x14ac:dyDescent="0.25">
      <c r="A8" t="s">
        <v>67</v>
      </c>
      <c r="B8" s="18">
        <f>IF(OR(Assumptions!$B$33=0,Assumptions!B12&lt;=0),B5,MAX(B5+B7,0))</f>
        <v>553178348.5462725</v>
      </c>
    </row>
    <row r="9" spans="1:2" x14ac:dyDescent="0.25">
      <c r="A9" t="s">
        <v>68</v>
      </c>
      <c r="B9" s="18">
        <f>B8*(1+Assumptions!B12)/(Assumptions!B26-Assumptions!B12)</f>
        <v>10504939445.858847</v>
      </c>
    </row>
    <row r="10" spans="1:2" x14ac:dyDescent="0.25">
      <c r="A10" t="s">
        <v>69</v>
      </c>
      <c r="B10" s="18">
        <f>B9/(1+Assumptions!B26)^(10-0.5*Assumptions!B32)</f>
        <v>5102512484.356231</v>
      </c>
    </row>
    <row r="11" spans="1:2" x14ac:dyDescent="0.25">
      <c r="A11" t="s">
        <v>70</v>
      </c>
      <c r="B11" s="18">
        <f>Forecast!B17+B10</f>
        <v>9194903161.59822</v>
      </c>
    </row>
    <row r="12" spans="1:2" x14ac:dyDescent="0.25">
      <c r="A12" t="s">
        <v>71</v>
      </c>
      <c r="B12" s="18">
        <f>-Assumptions!B30</f>
        <v>-5233466000</v>
      </c>
    </row>
    <row r="13" spans="1:2" x14ac:dyDescent="0.25">
      <c r="A13" t="s">
        <v>72</v>
      </c>
      <c r="B13" s="18">
        <f>B11+B12</f>
        <v>3961437161.598221</v>
      </c>
    </row>
    <row r="14" spans="1:2" x14ac:dyDescent="0.25">
      <c r="A14" s="19" t="s">
        <v>73</v>
      </c>
      <c r="B14" s="24">
        <f>B13/Assumptions!B31</f>
        <v>21.7381891502037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1355378085.106022</v>
      </c>
    </row>
    <row r="18" spans="1:2" x14ac:dyDescent="0.25">
      <c r="A18" t="s">
        <v>68</v>
      </c>
      <c r="B18" s="18">
        <f>B17*Assumptions!B13</f>
        <v>26914374081.23872</v>
      </c>
    </row>
    <row r="19" spans="1:2" x14ac:dyDescent="0.25">
      <c r="A19" t="s">
        <v>69</v>
      </c>
      <c r="B19" s="18">
        <f>B18/(1+Assumptions!B26)^(10-0.5*Assumptions!B32)</f>
        <v>13072986328.568659</v>
      </c>
    </row>
    <row r="20" spans="1:2" x14ac:dyDescent="0.25">
      <c r="A20" t="s">
        <v>70</v>
      </c>
      <c r="B20" s="18">
        <f>Forecast!B17+B19</f>
        <v>17165377005.810648</v>
      </c>
    </row>
    <row r="21" spans="1:2" x14ac:dyDescent="0.25">
      <c r="A21" t="s">
        <v>71</v>
      </c>
      <c r="B21" s="18">
        <f>-Assumptions!B30</f>
        <v>-5233466000</v>
      </c>
    </row>
    <row r="22" spans="1:2" x14ac:dyDescent="0.25">
      <c r="A22" t="s">
        <v>72</v>
      </c>
      <c r="B22" s="18">
        <f>B20+B21</f>
        <v>11931911005.810648</v>
      </c>
    </row>
    <row r="23" spans="1:2" x14ac:dyDescent="0.25">
      <c r="A23" s="19" t="s">
        <v>73</v>
      </c>
      <c r="B23" s="25">
        <f>B22/Assumptions!B31</f>
        <v>65.4757674517963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74.59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21.7381891502037</v>
      </c>
    </row>
    <row r="29" spans="1:2" x14ac:dyDescent="0.25">
      <c r="A29" s="19" t="s">
        <v>81</v>
      </c>
      <c r="B29" s="11">
        <f>B28/B26-1</f>
        <v>-0.7085642961495684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0.058975</v>
      </c>
      <c r="B5" s="31">
        <v>40.89735787839572</v>
      </c>
      <c r="C5" s="31">
        <v>39.93393840248324</v>
      </c>
      <c r="D5" s="31">
        <v>38.970518926570755</v>
      </c>
      <c r="E5" s="31">
        <v>38.00709945065828</v>
      </c>
      <c r="F5" s="31">
        <v>37.0436799747458</v>
      </c>
    </row>
    <row r="6" spans="1:6" x14ac:dyDescent="0.25">
      <c r="A6" s="30">
        <v>0.068975</v>
      </c>
      <c r="B6" s="31">
        <v>30.655471495650954</v>
      </c>
      <c r="C6" s="31">
        <v>29.877250165492402</v>
      </c>
      <c r="D6" s="31">
        <v>29.09902883533384</v>
      </c>
      <c r="E6" s="31">
        <v>28.32080750517529</v>
      </c>
      <c r="F6" s="31">
        <v>27.542586175016712</v>
      </c>
    </row>
    <row r="7" spans="1:6" x14ac:dyDescent="0.25">
      <c r="A7" s="30">
        <v>0.078975</v>
      </c>
      <c r="B7" s="31">
        <v>23.02378655922333</v>
      </c>
      <c r="C7" s="31">
        <v>22.381100994785374</v>
      </c>
      <c r="D7" s="32">
        <v>21.73841543034744</v>
      </c>
      <c r="E7" s="31">
        <v>21.095729865909487</v>
      </c>
      <c r="F7" s="31">
        <v>20.453044301471554</v>
      </c>
    </row>
    <row r="8" spans="1:6" x14ac:dyDescent="0.25">
      <c r="A8" s="30">
        <v>0.088975</v>
      </c>
      <c r="B8" s="31">
        <v>17.121182077234092</v>
      </c>
      <c r="C8" s="31">
        <v>16.581313175149617</v>
      </c>
      <c r="D8" s="31">
        <v>16.04144427306512</v>
      </c>
      <c r="E8" s="31">
        <v>15.501575370980634</v>
      </c>
      <c r="F8" s="31">
        <v>14.961706468896148</v>
      </c>
    </row>
    <row r="9" spans="1:6" x14ac:dyDescent="0.25">
      <c r="A9" s="30">
        <v>0.098975</v>
      </c>
      <c r="B9" s="31">
        <v>12.4227088837048</v>
      </c>
      <c r="C9" s="31">
        <v>11.963017067172443</v>
      </c>
      <c r="D9" s="31">
        <v>11.503325250640065</v>
      </c>
      <c r="E9" s="31">
        <v>11.043633434107702</v>
      </c>
      <c r="F9" s="31">
        <v>10.583941617575336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1553524000</v>
      </c>
      <c r="C5" s="18">
        <v>1453904000</v>
      </c>
      <c r="D5" s="18">
        <v>1322466000</v>
      </c>
      <c r="E5" s="18">
        <v>1224022000</v>
      </c>
      <c r="F5" s="6" t="s">
        <v>91</v>
      </c>
    </row>
    <row r="6" spans="1:6" x14ac:dyDescent="0.25">
      <c r="A6" t="s">
        <v>51</v>
      </c>
      <c r="B6" s="18">
        <v>583065000</v>
      </c>
      <c r="C6" s="18">
        <v>513806000</v>
      </c>
      <c r="D6" s="18">
        <v>468150000</v>
      </c>
      <c r="E6" s="18">
        <v>472313000</v>
      </c>
      <c r="F6" s="6" t="s">
        <v>92</v>
      </c>
    </row>
    <row r="7" spans="1:6" x14ac:dyDescent="0.25">
      <c r="A7" t="s">
        <v>93</v>
      </c>
      <c r="B7" s="18">
        <v>382754000</v>
      </c>
      <c r="C7" s="18">
        <v>372013000</v>
      </c>
      <c r="D7" s="18">
        <v>323152000</v>
      </c>
      <c r="E7" s="18">
        <v>298702000</v>
      </c>
      <c r="F7" s="6" t="s">
        <v>94</v>
      </c>
    </row>
    <row r="8" spans="1:6" x14ac:dyDescent="0.25">
      <c r="A8" t="s">
        <v>95</v>
      </c>
      <c r="B8" s="18">
        <v>0</v>
      </c>
      <c r="C8" s="18">
        <v>0</v>
      </c>
      <c r="D8" s="18">
        <v>0</v>
      </c>
      <c r="E8" s="18">
        <v>0</v>
      </c>
      <c r="F8" s="6" t="s">
        <v>96</v>
      </c>
    </row>
    <row r="9" spans="1:6" x14ac:dyDescent="0.25">
      <c r="A9" t="s">
        <v>97</v>
      </c>
      <c r="B9" s="18">
        <v>40750000</v>
      </c>
      <c r="C9" s="18">
        <v>26765000</v>
      </c>
      <c r="D9" s="18">
        <v>17196000</v>
      </c>
      <c r="E9" s="18">
        <v>46741000</v>
      </c>
      <c r="F9" s="6" t="s">
        <v>98</v>
      </c>
    </row>
    <row r="10" spans="1:6" x14ac:dyDescent="0.25">
      <c r="A10" t="s">
        <v>99</v>
      </c>
      <c r="B10" s="18">
        <v>5338123000</v>
      </c>
      <c r="C10" s="18">
        <v>5018169000</v>
      </c>
      <c r="D10" s="18">
        <v>4798314000</v>
      </c>
      <c r="E10" s="18">
        <v>4294680000</v>
      </c>
      <c r="F10" s="6" t="s">
        <v>100</v>
      </c>
    </row>
    <row r="11" spans="1:6" x14ac:dyDescent="0.25">
      <c r="A11" t="s">
        <v>101</v>
      </c>
      <c r="B11" s="18">
        <v>104657000</v>
      </c>
      <c r="C11" s="18">
        <v>56283000</v>
      </c>
      <c r="D11" s="18">
        <v>84971000</v>
      </c>
      <c r="E11" s="18">
        <v>66466000</v>
      </c>
      <c r="F11" s="6" t="s">
        <v>102</v>
      </c>
    </row>
    <row r="12" spans="1:6" x14ac:dyDescent="0.25">
      <c r="A12" t="s">
        <v>34</v>
      </c>
      <c r="B12" s="34">
        <v>182234000</v>
      </c>
      <c r="C12" s="34">
        <v>183040000</v>
      </c>
      <c r="D12" s="34">
        <v>176371000</v>
      </c>
      <c r="E12" s="34">
        <v>171791000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