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<sst xmlns="http://schemas.openxmlformats.org/spreadsheetml/2006/main" count="113" uniqueCount="101">
  <si>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Regis Healthcare Limited (REG.AX)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</si>
  <si>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</si>
  <si>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</si>
  <si>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</si>
  <si>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</si>
  <si>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</si>
  <si>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</si>
  <si>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</si>
  <si>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</si>
  <si>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</si>
  <si>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</si>
  <si>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</si>
  <si>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</si>
  <si>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</si>
  <si>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</si>
  <si>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</si>
  <si>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</si>
  <si>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</si>
  <si>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</si>
  <si>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</si>
  <si>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</si>
  <si>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</si>
  <si>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Implied cost of debt of 3578.9% is not a credible funding cost, so risk-free + 2bp is assumed instead. Interest expense and reported debt are measuring different things - common for banks, whose interest expense includes deposits that total debt excludes.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</si>
  <si>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</si>
  <si>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</si>
  <si>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</si>
  <si>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</si>
  <si>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</si>
  <si>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</si>
  <si>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</si>
  <si>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</si>
  <si>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</si>
  <si>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</si>
  <si>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</si>
  <si>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</si>
  <si>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</si>
  <si>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</si>
  <si>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</si>
  <si>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</si>
  <si>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</si>
  <si>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</si>
  <si>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</si>
  <si>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</si>
  <si>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</si>
  <si>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</si>
  <si>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</si>
  <si>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</si>
  <si>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</si>
  <si>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</si>
  <si>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</si>
  <si>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</si>
  <si>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</si>
  <si>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</si>
  <si>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</si>
  <si>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</si>
  <si>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</si>
  <si>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</si>
  <si>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</si>
  <si>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</si>
  <si>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</si>
  <si>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</si>
  <si>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</si>
  <si>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</si>
  <si>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</si>
  <si>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</si>
  <si>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</si>
  <si>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</si>
  <si>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</si>
  <si>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</si>
  <si>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</si>
  <si>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</si>
  <si>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</si>
  <si>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</si>
  <si>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</si>
  <si>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</si>
  <si>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</si>
  <si>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</si>
  <si>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</si>
  <si>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</si>
  <si>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</si>
  <si>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</si>
  <si>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</si>
  <si>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</si>
  <si>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</si>
  <si>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</si>
  <si>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</si>
  <si>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</si>
  <si>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</si>
  <si>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</si>
  <si>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</si>
  <si>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</si>
  <si>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</si>
  <si>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</si>
  <si>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</si>
  <si>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</si>
  <si>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</si>
  <si>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</si>
  <si>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</si>
  <si>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</si>
  <si>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Free cashflow is negative in at least one forecast year, so terminal value carries most of the valuation.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</si>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</sst>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0.5</v>
      </c>
    </row>
    <row r="7" spans="1:2" x14ac:dyDescent="0.25">
      <c r="A7" t="s">
        <v>5</v>
      </c>
      <c r="B7" s="6">
        <v>-0.6719643287002224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0.18958337429552236</v>
      </c>
    </row>
    <row r="10" spans="1:2" x14ac:dyDescent="0.25">
      <c r="A10" t="s">
        <v>8</v>
      </c>
      <c r="B10" s="6">
        <v>0.11898473337947921</v>
      </c>
    </row>
    <row r="11" spans="1:2" x14ac:dyDescent="0.25">
      <c r="A11" t="s">
        <v>9</v>
      </c>
      <c r="B11" s="6">
        <v>0.014697392639078493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10.990815100289042</v>
      </c>
    </row>
    <row r="14" spans="1:3" x14ac:dyDescent="0.25">
      <c r="A14" t="s">
        <v>12</v>
      </c>
      <c r="B14" s="6">
        <v>0.10601086319289123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0.87806</v>
      </c>
      <c r="C19" s="8" t="s">
        <v>19</v>
      </c>
    </row>
    <row r="20" spans="1:2" x14ac:dyDescent="0.25">
      <c r="A20" t="s">
        <v>20</v>
      </c>
      <c r="B20" s="10">
        <f>B17+B19*B18</f>
        <v>0.1061636</v>
      </c>
    </row>
    <row r="21" spans="1:3" x14ac:dyDescent="0.25">
      <c r="A21" t="s">
        <v>21</v>
      </c>
      <c r="B21" s="6">
        <v>0.07348</v>
      </c>
      <c r="C21" s="8" t="s">
        <v>22</v>
      </c>
    </row>
    <row r="22" spans="1:2" x14ac:dyDescent="0.25">
      <c r="A22" t="s">
        <v>23</v>
      </c>
      <c r="B22" s="11">
        <v>1424607360</v>
      </c>
    </row>
    <row r="23" spans="1:2" x14ac:dyDescent="0.25">
      <c r="A23" t="s">
        <v>24</v>
      </c>
      <c r="B23" s="11">
        <v>3987000</v>
      </c>
    </row>
    <row r="24" spans="1:2" x14ac:dyDescent="0.25">
      <c r="A24" t="s">
        <v>25</v>
      </c>
      <c r="B24" s="10">
        <f>B22/(B22+B23)</f>
        <v>0.9972091447988077</v>
      </c>
    </row>
    <row r="25" spans="1:2" x14ac:dyDescent="0.25">
      <c r="A25" t="s">
        <v>26</v>
      </c>
      <c r="B25" s="10">
        <f>1-B24</f>
        <v>0.002790855201192266</v>
      </c>
    </row>
    <row r="26" spans="1:2" x14ac:dyDescent="0.25">
      <c r="A26" t="s">
        <v>27</v>
      </c>
      <c r="B26" s="12">
        <f>B24*B20+B25*B21*(1-B8)</f>
        <v>0.10601086319289123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1350600000</v>
      </c>
      <c r="C29" s="8" t="s">
        <v>30</v>
      </c>
    </row>
    <row r="30" spans="1:2" x14ac:dyDescent="0.25">
      <c r="A30" t="s">
        <v>31</v>
      </c>
      <c r="B30" s="11">
        <v>-169786000</v>
      </c>
    </row>
    <row r="31" spans="1:2" x14ac:dyDescent="0.25">
      <c r="A31" t="s">
        <v>32</v>
      </c>
      <c r="B31" s="13">
        <v>302970620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0.5</v>
      </c>
      <c r="C5" s="10">
        <f>Assumptions!B6</f>
        <v>0.5</v>
      </c>
      <c r="D5" s="10">
        <f>Assumptions!B6</f>
        <v>0.5</v>
      </c>
      <c r="E5" s="10">
        <f>Assumptions!B6</f>
        <v>0.5</v>
      </c>
      <c r="F5" s="10">
        <f>Assumptions!B6</f>
        <v>0.5</v>
      </c>
    </row>
    <row r="6" spans="1:6" x14ac:dyDescent="0.25">
      <c r="A6" t="s">
        <v>43</v>
      </c>
      <c r="B6" s="18">
        <f>Assumptions!B29*(1+B5)</f>
        <v>2025900000</v>
      </c>
      <c r="C6" s="18">
        <f>B6*(1+C5)</f>
        <v>3038850000</v>
      </c>
      <c r="D6" s="18">
        <f>C6*(1+D5)</f>
        <v>4558275000</v>
      </c>
      <c r="E6" s="18">
        <f>D6*(1+E5)</f>
        <v>6837412500</v>
      </c>
      <c r="F6" s="18">
        <f>E6*(1+F5)</f>
        <v>10256118750</v>
      </c>
    </row>
    <row r="7" spans="1:6" x14ac:dyDescent="0.25">
      <c r="A7" t="s">
        <v>5</v>
      </c>
      <c r="B7" s="10">
        <f>Assumptions!B7</f>
        <v>-0.6719643287002224</v>
      </c>
      <c r="C7" s="10">
        <f>Assumptions!B7</f>
        <v>-0.6719643287002224</v>
      </c>
      <c r="D7" s="10">
        <f>Assumptions!B7</f>
        <v>-0.6719643287002224</v>
      </c>
      <c r="E7" s="10">
        <f>Assumptions!B7</f>
        <v>-0.6719643287002224</v>
      </c>
      <c r="F7" s="10">
        <f>Assumptions!B7</f>
        <v>-0.6719643287002224</v>
      </c>
    </row>
    <row r="8" spans="1:6" x14ac:dyDescent="0.25">
      <c r="A8" t="s">
        <v>44</v>
      </c>
      <c r="B8" s="18">
        <f>B6*B7</f>
        <v>-1361332533.5137806</v>
      </c>
      <c r="C8" s="18">
        <f>C6*C7</f>
        <v>-2041998800.270671</v>
      </c>
      <c r="D8" s="18">
        <f>D6*D7</f>
        <v>-3062998200.4060063</v>
      </c>
      <c r="E8" s="18">
        <f>E6*E7</f>
        <v>-4594497300.609009</v>
      </c>
      <c r="F8" s="18">
        <f>F6*F7</f>
        <v>-6891745950.913514</v>
      </c>
    </row>
    <row r="9" spans="1:6" x14ac:dyDescent="0.25">
      <c r="A9" t="s">
        <v>45</v>
      </c>
      <c r="B9" s="18">
        <f>B8*(1-Assumptions!B8)</f>
        <v>-952932773.4596463</v>
      </c>
      <c r="C9" s="18">
        <f>C8*(1-Assumptions!B8)</f>
        <v>-1429399160.1894696</v>
      </c>
      <c r="D9" s="18">
        <f>D8*(1-Assumptions!B8)</f>
        <v>-2144098740.2842042</v>
      </c>
      <c r="E9" s="18">
        <f>E8*(1-Assumptions!B8)</f>
        <v>-3216148110.426306</v>
      </c>
      <c r="F9" s="18">
        <f>F8*(1-Assumptions!B8)</f>
        <v>-4824222165.63946</v>
      </c>
    </row>
    <row r="10" spans="1:6" x14ac:dyDescent="0.25">
      <c r="A10" t="s">
        <v>46</v>
      </c>
      <c r="B10" s="18">
        <f>B6*Assumptions!B9</f>
        <v>384076957.98529875</v>
      </c>
      <c r="C10" s="18">
        <f>C6*Assumptions!B9</f>
        <v>576115436.9779481</v>
      </c>
      <c r="D10" s="18">
        <f>D6*Assumptions!B9</f>
        <v>864173155.4669222</v>
      </c>
      <c r="E10" s="18">
        <f>E6*Assumptions!B9</f>
        <v>1296259733.2003832</v>
      </c>
      <c r="F10" s="18">
        <f>F6*Assumptions!B9</f>
        <v>1944389599.8005748</v>
      </c>
    </row>
    <row r="11" spans="1:6" x14ac:dyDescent="0.25">
      <c r="A11" t="s">
        <v>47</v>
      </c>
      <c r="B11" s="18">
        <f>-B6*Assumptions!B10</f>
        <v>-241051171.35348693</v>
      </c>
      <c r="C11" s="18">
        <f>-C6*Assumptions!B10</f>
        <v>-361576757.0302304</v>
      </c>
      <c r="D11" s="18">
        <f>-D6*Assumptions!B10</f>
        <v>-542365135.5453455</v>
      </c>
      <c r="E11" s="18">
        <f>-E6*Assumptions!B10</f>
        <v>-813547703.3180183</v>
      </c>
      <c r="F11" s="18">
        <f>-F6*Assumptions!B10</f>
        <v>-1220321554.9770277</v>
      </c>
    </row>
    <row r="12" spans="1:6" x14ac:dyDescent="0.25">
      <c r="A12" t="s">
        <v>48</v>
      </c>
      <c r="B12" s="18">
        <f>-(B6-Assumptions!B29)*Assumptions!B11</f>
        <v>-9925149.249169707</v>
      </c>
      <c r="C12" s="18">
        <f>-(C6-B6)*Assumptions!B11</f>
        <v>-14887723.87375456</v>
      </c>
      <c r="D12" s="18">
        <f>-(D6-C6)*Assumptions!B11</f>
        <v>-22331585.81063184</v>
      </c>
      <c r="E12" s="18">
        <f>-(E6-D6)*Assumptions!B11</f>
        <v>-33497378.71594776</v>
      </c>
      <c r="F12" s="18">
        <f>-(F6-E6)*Assumptions!B11</f>
        <v>-50246068.073921636</v>
      </c>
    </row>
    <row r="13" spans="1:6" x14ac:dyDescent="0.25">
      <c r="A13" s="19" t="s">
        <v>49</v>
      </c>
      <c r="B13" s="20">
        <f>B9+B10+B11+B12</f>
        <v>-819832136.0770042</v>
      </c>
      <c r="C13" s="20">
        <f>C9+C10+C11+C12</f>
        <v>-1229748204.1155064</v>
      </c>
      <c r="D13" s="20">
        <f>D9+D10+D11+D12</f>
        <v>-1844622306.1732595</v>
      </c>
      <c r="E13" s="20">
        <f>E9+E10+E11+E12</f>
        <v>-2766933459.2598886</v>
      </c>
      <c r="F13" s="20">
        <f>F9+F10+F11+F12</f>
        <v>-4150400188.889834</v>
      </c>
    </row>
    <row r="14" spans="1:6" x14ac:dyDescent="0.25">
      <c r="A14" t="s">
        <v>50</v>
      </c>
      <c r="B14" s="21">
        <f>1/(1+Assumptions!$B$26)^(1-0.5*Assumptions!$B$32)</f>
        <v>0.9508681566829787</v>
      </c>
      <c r="C14" s="21">
        <f>1/(1+Assumptions!$B$26)^(2-0.5*Assumptions!$B$32)</f>
        <v>0.8597276829071656</v>
      </c>
      <c r="D14" s="21">
        <f>1/(1+Assumptions!$B$26)^(3-0.5*Assumptions!$B$32)</f>
        <v>0.7773230006306248</v>
      </c>
      <c r="E14" s="21">
        <f>1/(1+Assumptions!$B$26)^(4-0.5*Assumptions!$B$32)</f>
        <v>0.7028167864342735</v>
      </c>
      <c r="F14" s="21">
        <f>1/(1+Assumptions!$B$26)^(5-0.5*Assumptions!$B$32)</f>
        <v>0.6354519741382507</v>
      </c>
    </row>
    <row r="15" spans="1:6" x14ac:dyDescent="0.25">
      <c r="A15" s="19" t="s">
        <v>51</v>
      </c>
      <c r="B15" s="20">
        <f>B13*B14</f>
        <v>-779552272.0210099</v>
      </c>
      <c r="C15" s="20">
        <f>C13*C14</f>
        <v>-1057248574.0834725</v>
      </c>
      <c r="D15" s="20">
        <f>D13*D14</f>
        <v>-1433867346.0647812</v>
      </c>
      <c r="E15" s="20">
        <f>E13*E14</f>
        <v>-1944647282.1145027</v>
      </c>
      <c r="F15" s="20">
        <f>F13*F14</f>
        <v>-2637379993.4938135</v>
      </c>
    </row>
    <row r="17" spans="1:2" x14ac:dyDescent="0.25">
      <c r="A17" s="22" t="s">
        <v>52</v>
      </c>
      <c r="B17" s="23">
        <f>SUM(B15:F15)</f>
        <v>-7852695467.77758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-4150400188.889834</v>
      </c>
    </row>
    <row r="5" spans="1:2" x14ac:dyDescent="0.25">
      <c r="A5" t="s">
        <v>56</v>
      </c>
      <c r="B5" s="18">
        <f>IF(Assumptions!$B$33=0,B4,B4-Forecast!F11-Forecast!F10-Forecast!F12)</f>
        <v>-4824222165.63946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0.23582488857308376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-7852695467.77758</v>
      </c>
    </row>
    <row r="12" spans="1:2" x14ac:dyDescent="0.25">
      <c r="A12" t="s">
        <v>63</v>
      </c>
      <c r="B12" s="18">
        <f>-Assumptions!B30</f>
        <v>169786000</v>
      </c>
    </row>
    <row r="13" spans="1:2" x14ac:dyDescent="0.25">
      <c r="A13" t="s">
        <v>64</v>
      </c>
      <c r="B13" s="18">
        <f>B11+B12</f>
        <v>-7682909467.77758</v>
      </c>
    </row>
    <row r="14" spans="1:2" x14ac:dyDescent="0.25">
      <c r="A14" s="19" t="s">
        <v>65</v>
      </c>
      <c r="B14" s="24">
        <f>B13/Assumptions!B31</f>
        <v>-25.358595720527557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-4947356351.11294</v>
      </c>
    </row>
    <row r="18" spans="1:2" x14ac:dyDescent="0.25">
      <c r="A18" t="s">
        <v>60</v>
      </c>
      <c r="B18" s="18">
        <f>B17*Assumptions!B13</f>
        <v>-54375478890.323</v>
      </c>
    </row>
    <row r="19" spans="1:2" x14ac:dyDescent="0.25">
      <c r="A19" t="s">
        <v>61</v>
      </c>
      <c r="B19" s="18">
        <f>B18/(1+Assumptions!B26)^(5-0.5*Assumptions!B32)</f>
        <v>-34553005405.56853</v>
      </c>
    </row>
    <row r="20" spans="1:2" x14ac:dyDescent="0.25">
      <c r="A20" t="s">
        <v>62</v>
      </c>
      <c r="B20" s="18">
        <f>Forecast!B17+B19</f>
        <v>-42405700873.34611</v>
      </c>
    </row>
    <row r="21" spans="1:2" x14ac:dyDescent="0.25">
      <c r="A21" t="s">
        <v>63</v>
      </c>
      <c r="B21" s="18">
        <f>-Assumptions!B30</f>
        <v>169786000</v>
      </c>
    </row>
    <row r="22" spans="1:2" x14ac:dyDescent="0.25">
      <c r="A22" t="s">
        <v>64</v>
      </c>
      <c r="B22" s="18">
        <f>B20+B21</f>
        <v>-42235914873.34611</v>
      </c>
    </row>
    <row r="23" spans="1:2" x14ac:dyDescent="0.25">
      <c r="A23" s="19" t="s">
        <v>65</v>
      </c>
      <c r="B23" s="25">
        <f>B22/Assumptions!B31</f>
        <v>-139.40597564656966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4.71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-25.358595720527557</v>
      </c>
    </row>
    <row r="29" spans="1:2" x14ac:dyDescent="0.25">
      <c r="A29" s="19" t="s">
        <v>73</v>
      </c>
      <c r="B29" s="12">
        <f>B28/B26-1</f>
        <v>-6.383990598838123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0.086011</v>
      </c>
      <c r="B5" s="31">
        <v>-26.868266703589025</v>
      </c>
      <c r="C5" s="31">
        <v>-26.868266703589025</v>
      </c>
      <c r="D5" s="31">
        <v>-26.868266703589025</v>
      </c>
      <c r="E5" s="31">
        <v>-26.868266703589025</v>
      </c>
      <c r="F5" s="31">
        <v>-26.868266703589025</v>
      </c>
    </row>
    <row r="6" spans="1:6" x14ac:dyDescent="0.25">
      <c r="A6" s="30">
        <v>0.096011</v>
      </c>
      <c r="B6" s="31">
        <v>-26.097339820180714</v>
      </c>
      <c r="C6" s="31">
        <v>-26.097339820180714</v>
      </c>
      <c r="D6" s="31">
        <v>-26.097339820180714</v>
      </c>
      <c r="E6" s="31">
        <v>-26.097339820180714</v>
      </c>
      <c r="F6" s="31">
        <v>-26.097339820180714</v>
      </c>
    </row>
    <row r="7" spans="1:6" x14ac:dyDescent="0.25">
      <c r="A7" s="30">
        <v>0.106011</v>
      </c>
      <c r="B7" s="31">
        <v>-25.3585858261622</v>
      </c>
      <c r="C7" s="31">
        <v>-25.3585858261622</v>
      </c>
      <c r="D7" s="32">
        <v>-25.3585858261622</v>
      </c>
      <c r="E7" s="31">
        <v>-25.3585858261622</v>
      </c>
      <c r="F7" s="31">
        <v>-25.3585858261622</v>
      </c>
    </row>
    <row r="8" spans="1:6" x14ac:dyDescent="0.25">
      <c r="A8" s="30">
        <v>0.116011</v>
      </c>
      <c r="B8" s="31">
        <v>-24.650330228931548</v>
      </c>
      <c r="C8" s="31">
        <v>-24.650330228931548</v>
      </c>
      <c r="D8" s="31">
        <v>-24.650330228931548</v>
      </c>
      <c r="E8" s="31">
        <v>-24.650330228931548</v>
      </c>
      <c r="F8" s="31">
        <v>-24.650330228931548</v>
      </c>
    </row>
    <row r="9" spans="1:6" x14ac:dyDescent="0.25">
      <c r="A9" s="30">
        <v>0.126011</v>
      </c>
      <c r="B9" s="31">
        <v>-23.97100132279302</v>
      </c>
      <c r="C9" s="31">
        <v>-23.97100132279302</v>
      </c>
      <c r="D9" s="31">
        <v>-23.97100132279302</v>
      </c>
      <c r="E9" s="31">
        <v>-23.97100132279302</v>
      </c>
      <c r="F9" s="31">
        <v>-23.97100132279302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1350600000</v>
      </c>
      <c r="C5" s="18">
        <v>1161288000</v>
      </c>
      <c r="D5" s="18">
        <v>1014051000</v>
      </c>
      <c r="E5" s="18">
        <v>230990000</v>
      </c>
      <c r="F5" s="8" t="s">
        <v>84</v>
      </c>
    </row>
    <row r="6" spans="1:6" x14ac:dyDescent="0.25">
      <c r="A6" t="s">
        <v>44</v>
      </c>
      <c r="B6" s="18">
        <v>57911000</v>
      </c>
      <c r="C6" s="18">
        <v>60028000</v>
      </c>
      <c r="D6" s="18">
        <v>-40887000</v>
      </c>
      <c r="E6" s="18">
        <v>-633399000</v>
      </c>
      <c r="F6" s="8" t="s">
        <v>85</v>
      </c>
    </row>
    <row r="7" spans="1:6" x14ac:dyDescent="0.25">
      <c r="A7" t="s">
        <v>86</v>
      </c>
      <c r="B7" s="18">
        <v>56259000</v>
      </c>
      <c r="C7" s="18">
        <v>49807000</v>
      </c>
      <c r="D7" s="18">
        <v>128077000</v>
      </c>
      <c r="E7" s="18">
        <v>126464000</v>
      </c>
      <c r="F7" s="8" t="s">
        <v>87</v>
      </c>
    </row>
    <row r="8" spans="1:6" x14ac:dyDescent="0.25">
      <c r="A8" t="s">
        <v>88</v>
      </c>
      <c r="B8" s="18">
        <v>142016000</v>
      </c>
      <c r="C8" s="18">
        <v>86472000</v>
      </c>
      <c r="D8" s="18">
        <v>65725000</v>
      </c>
      <c r="E8" s="18">
        <v>53477000</v>
      </c>
      <c r="F8" s="8" t="s">
        <v>89</v>
      </c>
    </row>
    <row r="9" spans="1:6" x14ac:dyDescent="0.25">
      <c r="A9" t="s">
        <v>90</v>
      </c>
      <c r="B9" s="18">
        <v>10474000</v>
      </c>
      <c r="C9" s="18">
        <v>2164000</v>
      </c>
      <c r="D9" s="18">
        <v>611000</v>
      </c>
      <c r="E9" s="18">
        <v>-3321000</v>
      </c>
      <c r="F9" s="8" t="s">
        <v>91</v>
      </c>
    </row>
    <row r="10" spans="1:6" x14ac:dyDescent="0.25">
      <c r="A10" t="s">
        <v>92</v>
      </c>
      <c r="B10" s="18">
        <v>3987000</v>
      </c>
      <c r="C10" s="18">
        <v>5111000</v>
      </c>
      <c r="D10" s="18">
        <v>3843000</v>
      </c>
      <c r="E10" s="18">
        <v>138405000</v>
      </c>
      <c r="F10" s="8" t="s">
        <v>93</v>
      </c>
    </row>
    <row r="11" spans="1:6" x14ac:dyDescent="0.25">
      <c r="A11" t="s">
        <v>94</v>
      </c>
      <c r="B11" s="18">
        <v>173773000</v>
      </c>
      <c r="C11" s="18">
        <v>192465000</v>
      </c>
      <c r="D11" s="18">
        <v>64905000</v>
      </c>
      <c r="E11" s="18">
        <v>61320000</v>
      </c>
      <c r="F11" s="8" t="s">
        <v>95</v>
      </c>
    </row>
    <row r="12" spans="1:6" x14ac:dyDescent="0.25">
      <c r="A12" t="s">
        <v>32</v>
      </c>
      <c r="B12" s="34">
        <v>302970620</v>
      </c>
      <c r="C12" s="34">
        <v>303854749</v>
      </c>
      <c r="D12" s="34">
        <v>301035000</v>
      </c>
      <c r="E12" s="34">
        <v>300890000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2026-09-19T00:06:24Z</dcterms:modified>
</cp:coreProperties>
</file>