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<sst xmlns="http://schemas.openxmlformats.org/spreadsheetml/2006/main" count="112" uniqueCount="100">
  <si>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Regeneron Pharmaceuticals, Inc. (REGN)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</si>
  <si>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</si>
  <si>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</si>
  <si>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</si>
  <si>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</si>
  <si>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</si>
  <si>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</si>
  <si>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</si>
  <si>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</si>
  <si>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</si>
  <si>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</si>
  <si>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</si>
  <si>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</si>
  <si>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</si>
  <si>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</si>
  <si>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</si>
  <si>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</si>
  <si>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</si>
  <si>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</si>
  <si>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</si>
  <si>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</si>
  <si>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</si>
  <si>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</si>
  <si>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</si>
  <si>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</si>
  <si>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</si>
  <si>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</si>
  <si>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</si>
  <si>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</si>
  <si>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</si>
  <si>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</si>
  <si>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</si>
  <si>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</si>
  <si>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</si>
  <si>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</si>
  <si>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</si>
  <si>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</si>
  <si>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</si>
  <si>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</si>
  <si>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</si>
  <si>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</si>
  <si>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</si>
  <si>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</si>
  <si>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</si>
  <si>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</si>
  <si>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</si>
  <si>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</si>
  <si>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</si>
  <si>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</si>
  <si>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</si>
  <si>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</si>
  <si>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</si>
  <si>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</si>
  <si>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</si>
  <si>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</si>
  <si>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</si>
  <si>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</si>
  <si>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</si>
  <si>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</si>
  <si>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</si>
  <si>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</si>
  <si>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</si>
  <si>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</si>
  <si>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</si>
  <si>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</si>
  <si>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</si>
  <si>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</si>
  <si>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</si>
  <si>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</si>
  <si>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</si>
  <si>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</si>
  <si>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</si>
  <si>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</si>
  <si>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</si>
  <si>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</si>
  <si>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</si>
  <si>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</si>
  <si>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</si>
  <si>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</si>
  <si>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</si>
  <si>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</si>
  <si>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</si>
  <si>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</si>
  <si>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</si>
  <si>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</si>
  <si>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</si>
  <si>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</si>
  <si>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</si>
  <si>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</si>
  <si>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</si>
  <si>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</si>
  <si>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</si>
  <si>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</si>
  <si>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</si>
  <si>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</si>
  <si>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</si>
  <si>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</si>
  <si>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</si>
  <si>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8.8% of revenue against depreciation of 3.3%.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</si>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</sst>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0.05620358857997587</v>
      </c>
    </row>
    <row r="7" spans="1:2" x14ac:dyDescent="0.25">
      <c r="A7" t="s">
        <v>5</v>
      </c>
      <c r="B7" s="6">
        <v>0.30923386182774304</v>
      </c>
    </row>
    <row r="8" spans="1:2" x14ac:dyDescent="0.25">
      <c r="A8" t="s">
        <v>6</v>
      </c>
      <c r="B8" s="6">
        <v>0.09197362332969689</v>
      </c>
    </row>
    <row r="9" spans="1:2" x14ac:dyDescent="0.25">
      <c r="A9" t="s">
        <v>7</v>
      </c>
      <c r="B9" s="6">
        <v>0.03301266998369246</v>
      </c>
    </row>
    <row r="10" spans="1:2" x14ac:dyDescent="0.25">
      <c r="A10" t="s">
        <v>8</v>
      </c>
      <c r="B10" s="6">
        <v>0.08753717410332651</v>
      </c>
    </row>
    <row r="11" spans="1:2" x14ac:dyDescent="0.25">
      <c r="A11" t="s">
        <v>9</v>
      </c>
      <c r="B11" s="6">
        <v>0.09965053478767341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17.642538338554303</v>
      </c>
    </row>
    <row r="14" spans="1:3" x14ac:dyDescent="0.25">
      <c r="A14" t="s">
        <v>12</v>
      </c>
      <c r="B14" s="6">
        <v>0.12354179029047041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0.45931</v>
      </c>
      <c r="C19" s="8" t="s">
        <v>19</v>
      </c>
    </row>
    <row r="20" spans="1:2" x14ac:dyDescent="0.25">
      <c r="A20" t="s">
        <v>20</v>
      </c>
      <c r="B20" s="10">
        <f>B17+B19*B18</f>
        <v>0.07524205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80804225024</v>
      </c>
    </row>
    <row r="23" spans="1:2" x14ac:dyDescent="0.25">
      <c r="A23" t="s">
        <v>24</v>
      </c>
      <c r="B23" s="11">
        <v>2705900000</v>
      </c>
    </row>
    <row r="24" spans="1:2" x14ac:dyDescent="0.25">
      <c r="A24" t="s">
        <v>25</v>
      </c>
      <c r="B24" s="10">
        <f>B22/(B22+B23)</f>
        <v>0.9675979409775479</v>
      </c>
    </row>
    <row r="25" spans="1:2" x14ac:dyDescent="0.25">
      <c r="A25" t="s">
        <v>26</v>
      </c>
      <c r="B25" s="10">
        <f>1-B24</f>
        <v>0.03240205902245208</v>
      </c>
    </row>
    <row r="26" spans="1:2" x14ac:dyDescent="0.25">
      <c r="A26" t="s">
        <v>27</v>
      </c>
      <c r="B26" s="12">
        <f>B24*B20+B25*B21*(1-B8)</f>
        <v>0.07427456042898542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14342900000</v>
      </c>
      <c r="C29" s="8" t="s">
        <v>30</v>
      </c>
    </row>
    <row r="30" spans="1:2" x14ac:dyDescent="0.25">
      <c r="A30" t="s">
        <v>31</v>
      </c>
      <c r="B30" s="11">
        <v>-5899300000</v>
      </c>
    </row>
    <row r="31" spans="1:2" x14ac:dyDescent="0.25">
      <c r="A31" t="s">
        <v>32</v>
      </c>
      <c r="B31" s="13">
        <v>108600000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0.05620358857997587</v>
      </c>
      <c r="C5" s="10">
        <f>Assumptions!B6</f>
        <v>0.05620358857997587</v>
      </c>
      <c r="D5" s="10">
        <f>Assumptions!B6</f>
        <v>0.05620358857997587</v>
      </c>
      <c r="E5" s="10">
        <f>Assumptions!B6</f>
        <v>0.05620358857997587</v>
      </c>
      <c r="F5" s="10">
        <f>Assumptions!B6</f>
        <v>0.05620358857997587</v>
      </c>
    </row>
    <row r="6" spans="1:6" x14ac:dyDescent="0.25">
      <c r="A6" t="s">
        <v>43</v>
      </c>
      <c r="B6" s="18">
        <f>Assumptions!B29*(1+B5)</f>
        <v>15149022450.643736</v>
      </c>
      <c r="C6" s="18">
        <f>B6*(1+C5)</f>
        <v>16000451875.848534</v>
      </c>
      <c r="D6" s="18">
        <f>C6*(1+D5)</f>
        <v>16899734690.172428</v>
      </c>
      <c r="E6" s="18">
        <f>D6*(1+E5)</f>
        <v>17849560425.809624</v>
      </c>
      <c r="F6" s="18">
        <f>E6*(1+F5)</f>
        <v>18852769776.315247</v>
      </c>
    </row>
    <row r="7" spans="1:6" x14ac:dyDescent="0.25">
      <c r="A7" t="s">
        <v>5</v>
      </c>
      <c r="B7" s="10">
        <f>Assumptions!B7</f>
        <v>0.30923386182774304</v>
      </c>
      <c r="C7" s="10">
        <f>Assumptions!B7</f>
        <v>0.30923386182774304</v>
      </c>
      <c r="D7" s="10">
        <f>Assumptions!B7</f>
        <v>0.30923386182774304</v>
      </c>
      <c r="E7" s="10">
        <f>Assumptions!B7</f>
        <v>0.30923386182774304</v>
      </c>
      <c r="F7" s="10">
        <f>Assumptions!B7</f>
        <v>0.30923386182774304</v>
      </c>
    </row>
    <row r="8" spans="1:6" x14ac:dyDescent="0.25">
      <c r="A8" t="s">
        <v>44</v>
      </c>
      <c r="B8" s="18">
        <f>B6*B7</f>
        <v>4684590715.327743</v>
      </c>
      <c r="C8" s="18">
        <f>C6*C7</f>
        <v>4947881524.557597</v>
      </c>
      <c r="D8" s="18">
        <f>D6*D7</f>
        <v>5225970222.106297</v>
      </c>
      <c r="E8" s="18">
        <f>E6*E7</f>
        <v>5519688502.4007635</v>
      </c>
      <c r="F8" s="18">
        <f>F6*F7</f>
        <v>5829914804.079319</v>
      </c>
    </row>
    <row r="9" spans="1:6" x14ac:dyDescent="0.25">
      <c r="A9" t="s">
        <v>45</v>
      </c>
      <c r="B9" s="18">
        <f>B8*(1-Assumptions!B8)</f>
        <v>4253731933.422394</v>
      </c>
      <c r="C9" s="18">
        <f>C8*(1-Assumptions!B8)</f>
        <v>4492806932.93797</v>
      </c>
      <c r="D9" s="18">
        <f>D8*(1-Assumptions!B8)</f>
        <v>4745318805.36608</v>
      </c>
      <c r="E9" s="18">
        <f>E8*(1-Assumptions!B8)</f>
        <v>5012022751.183698</v>
      </c>
      <c r="F9" s="18">
        <f>F8*(1-Assumptions!B8)</f>
        <v>5293716415.844705</v>
      </c>
    </row>
    <row r="10" spans="1:6" x14ac:dyDescent="0.25">
      <c r="A10" t="s">
        <v>46</v>
      </c>
      <c r="B10" s="18">
        <f>B6*Assumptions!B9</f>
        <v>500109678.73864967</v>
      </c>
      <c r="C10" s="18">
        <f>C6*Assumptions!B9</f>
        <v>528217637.3673406</v>
      </c>
      <c r="D10" s="18">
        <f>D6*Assumptions!B9</f>
        <v>557905364.1386216</v>
      </c>
      <c r="E10" s="18">
        <f>E6*Assumptions!B9</f>
        <v>589261647.6912302</v>
      </c>
      <c r="F10" s="18">
        <f>F6*Assumptions!B9</f>
        <v>622380266.9040267</v>
      </c>
    </row>
    <row r="11" spans="1:6" x14ac:dyDescent="0.25">
      <c r="A11" t="s">
        <v>47</v>
      </c>
      <c r="B11" s="18">
        <f>-B6*Assumptions!B10</f>
        <v>-1326102615.7572026</v>
      </c>
      <c r="C11" s="18">
        <f>-C6*Assumptions!B10</f>
        <v>-1400634341.5880504</v>
      </c>
      <c r="D11" s="18">
        <f>-D6*Assumptions!B10</f>
        <v>-1479355017.8736506</v>
      </c>
      <c r="E11" s="18">
        <f>-E6*Assumptions!B10</f>
        <v>-1562500078.661944</v>
      </c>
      <c r="F11" s="18">
        <f>-F6*Assumptions!B10</f>
        <v>-1650318190.2392397</v>
      </c>
    </row>
    <row r="12" spans="1:6" x14ac:dyDescent="0.25">
      <c r="A12" t="s">
        <v>48</v>
      </c>
      <c r="B12" s="18">
        <f>-(B6-Assumptions!B29)*Assumptions!B11</f>
        <v>-80330533.31099814</v>
      </c>
      <c r="C12" s="18">
        <f>-(C6-B6)*Assumptions!B11</f>
        <v>-84845397.55561948</v>
      </c>
      <c r="D12" s="18">
        <f>-(D6-C6)*Assumptions!B11</f>
        <v>-89614013.3727401</v>
      </c>
      <c r="E12" s="18">
        <f>-(E6-D6)*Assumptions!B11</f>
        <v>-94650642.51134185</v>
      </c>
      <c r="F12" s="18">
        <f>-(F6-E6)*Assumptions!B11</f>
        <v>-99970348.28187983</v>
      </c>
    </row>
    <row r="13" spans="1:6" x14ac:dyDescent="0.25">
      <c r="A13" s="19" t="s">
        <v>49</v>
      </c>
      <c r="B13" s="20">
        <f>B9+B10+B11+B12</f>
        <v>3347408463.0928426</v>
      </c>
      <c r="C13" s="20">
        <f>C9+C10+C11+C12</f>
        <v>3535544831.161641</v>
      </c>
      <c r="D13" s="20">
        <f>D9+D10+D11+D12</f>
        <v>3734255138.258311</v>
      </c>
      <c r="E13" s="20">
        <f>E9+E10+E11+E12</f>
        <v>3944133677.7016416</v>
      </c>
      <c r="F13" s="20">
        <f>F9+F10+F11+F12</f>
        <v>4165808144.227612</v>
      </c>
    </row>
    <row r="14" spans="1:6" x14ac:dyDescent="0.25">
      <c r="A14" t="s">
        <v>50</v>
      </c>
      <c r="B14" s="21">
        <f>1/(1+Assumptions!$B$26)^(1-0.5*Assumptions!$B$32)</f>
        <v>0.9648112398626033</v>
      </c>
      <c r="C14" s="21">
        <f>1/(1+Assumptions!$B$26)^(2-0.5*Assumptions!$B$32)</f>
        <v>0.8981048936664099</v>
      </c>
      <c r="D14" s="21">
        <f>1/(1+Assumptions!$B$26)^(3-0.5*Assumptions!$B$32)</f>
        <v>0.8360105756462981</v>
      </c>
      <c r="E14" s="21">
        <f>1/(1+Assumptions!$B$26)^(4-0.5*Assumptions!$B$32)</f>
        <v>0.7782094135343367</v>
      </c>
      <c r="F14" s="21">
        <f>1/(1+Assumptions!$B$26)^(5-0.5*Assumptions!$B$32)</f>
        <v>0.7244045816588804</v>
      </c>
    </row>
    <row r="15" spans="1:6" x14ac:dyDescent="0.25">
      <c r="A15" s="19" t="s">
        <v>51</v>
      </c>
      <c r="B15" s="20">
        <f>B13*B14</f>
        <v>3229617309.603177</v>
      </c>
      <c r="C15" s="20">
        <f>C13*C14</f>
        <v>3175290114.643251</v>
      </c>
      <c r="D15" s="20">
        <f>D13*D14</f>
        <v>3121876787.7454767</v>
      </c>
      <c r="E15" s="20">
        <f>E13*E14</f>
        <v>3069361956.225221</v>
      </c>
      <c r="F15" s="20">
        <f>F13*F14</f>
        <v>3017730505.9903603</v>
      </c>
    </row>
    <row r="17" spans="1:2" x14ac:dyDescent="0.25">
      <c r="A17" s="22" t="s">
        <v>52</v>
      </c>
      <c r="B17" s="23">
        <f>SUM(B15:F15)</f>
        <v>15613876674.207487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4165808144.227612</v>
      </c>
    </row>
    <row r="5" spans="1:2" x14ac:dyDescent="0.25">
      <c r="A5" t="s">
        <v>56</v>
      </c>
      <c r="B5" s="18">
        <f>IF(Assumptions!$B$33=0,B4,B4-Forecast!F11-Forecast!F10-Forecast!F12)</f>
        <v>5431085098.040764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0.20236067440191868</v>
      </c>
    </row>
    <row r="7" spans="1:2" x14ac:dyDescent="0.25">
      <c r="A7" t="s">
        <v>58</v>
      </c>
      <c r="B7" s="18">
        <f>-MAX(Forecast!F9,0)*B6</f>
        <v>-1099038043.1737397</v>
      </c>
    </row>
    <row r="8" spans="1:2" x14ac:dyDescent="0.25">
      <c r="A8" t="s">
        <v>59</v>
      </c>
      <c r="B8" s="18">
        <f>IF(OR(Assumptions!$B$33=0,Assumptions!B12&lt;=0),B5,MAX(B5+B7,0))</f>
        <v>4332047054.867024</v>
      </c>
    </row>
    <row r="9" spans="1:2" x14ac:dyDescent="0.25">
      <c r="A9" t="s">
        <v>60</v>
      </c>
      <c r="B9" s="18">
        <f>B8*(1+Assumptions!B12)/(Assumptions!B26-Assumptions!B12)</f>
        <v>90114415888.86699</v>
      </c>
    </row>
    <row r="10" spans="1:2" x14ac:dyDescent="0.25">
      <c r="A10" t="s">
        <v>61</v>
      </c>
      <c r="B10" s="18">
        <f>B9/(1+Assumptions!B26)^(5-0.5*Assumptions!B32)</f>
        <v>65279295743.40906</v>
      </c>
    </row>
    <row r="11" spans="1:2" x14ac:dyDescent="0.25">
      <c r="A11" t="s">
        <v>62</v>
      </c>
      <c r="B11" s="18">
        <f>Forecast!B17+B10</f>
        <v>80893172417.61655</v>
      </c>
    </row>
    <row r="12" spans="1:2" x14ac:dyDescent="0.25">
      <c r="A12" t="s">
        <v>63</v>
      </c>
      <c r="B12" s="18">
        <f>-Assumptions!B30</f>
        <v>5899300000</v>
      </c>
    </row>
    <row r="13" spans="1:2" x14ac:dyDescent="0.25">
      <c r="A13" t="s">
        <v>64</v>
      </c>
      <c r="B13" s="18">
        <f>B11+B12</f>
        <v>86792472417.61655</v>
      </c>
    </row>
    <row r="14" spans="1:2" x14ac:dyDescent="0.25">
      <c r="A14" s="19" t="s">
        <v>65</v>
      </c>
      <c r="B14" s="24">
        <f>B13/Assumptions!B31</f>
        <v>799.1940369946275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6452295070.983346</v>
      </c>
    </row>
    <row r="18" spans="1:2" x14ac:dyDescent="0.25">
      <c r="A18" t="s">
        <v>60</v>
      </c>
      <c r="B18" s="18">
        <f>B17*Assumptions!B13</f>
        <v>113834863161.48863</v>
      </c>
    </row>
    <row r="19" spans="1:2" x14ac:dyDescent="0.25">
      <c r="A19" t="s">
        <v>61</v>
      </c>
      <c r="B19" s="18">
        <f>B18/(1+Assumptions!B26)^(5-0.5*Assumptions!B32)</f>
        <v>82462496426.69408</v>
      </c>
    </row>
    <row r="20" spans="1:2" x14ac:dyDescent="0.25">
      <c r="A20" t="s">
        <v>62</v>
      </c>
      <c r="B20" s="18">
        <f>Forecast!B17+B19</f>
        <v>98076373100.90157</v>
      </c>
    </row>
    <row r="21" spans="1:2" x14ac:dyDescent="0.25">
      <c r="A21" t="s">
        <v>63</v>
      </c>
      <c r="B21" s="18">
        <f>-Assumptions!B30</f>
        <v>5899300000</v>
      </c>
    </row>
    <row r="22" spans="1:2" x14ac:dyDescent="0.25">
      <c r="A22" t="s">
        <v>64</v>
      </c>
      <c r="B22" s="18">
        <f>B20+B21</f>
        <v>103975673100.90157</v>
      </c>
    </row>
    <row r="23" spans="1:2" x14ac:dyDescent="0.25">
      <c r="A23" s="19" t="s">
        <v>65</v>
      </c>
      <c r="B23" s="25">
        <f>B22/Assumptions!B31</f>
        <v>957.4187210027768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784.85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799.1940369946275</v>
      </c>
    </row>
    <row r="29" spans="1:2" x14ac:dyDescent="0.25">
      <c r="A29" s="19" t="s">
        <v>73</v>
      </c>
      <c r="B29" s="12">
        <f>B28/B26-1</f>
        <v>0.018276150850006223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0.054275</v>
      </c>
      <c r="B5" s="31">
        <v>1100.121203784918</v>
      </c>
      <c r="C5" s="31">
        <v>1188.2744733690954</v>
      </c>
      <c r="D5" s="31">
        <v>1305.994842268649</v>
      </c>
      <c r="E5" s="31">
        <v>1471.5524027484867</v>
      </c>
      <c r="F5" s="31">
        <v>1722.1745412524085</v>
      </c>
    </row>
    <row r="6" spans="1:6" x14ac:dyDescent="0.25">
      <c r="A6" s="30">
        <v>0.064275</v>
      </c>
      <c r="B6" s="31">
        <v>885.2749960578196</v>
      </c>
      <c r="C6" s="31">
        <v>931.0172795768207</v>
      </c>
      <c r="D6" s="31">
        <v>988.0168671233318</v>
      </c>
      <c r="E6" s="31">
        <v>1061.200368775038</v>
      </c>
      <c r="F6" s="31">
        <v>1158.8601401793494</v>
      </c>
    </row>
    <row r="7" spans="1:6" x14ac:dyDescent="0.25">
      <c r="A7" s="30">
        <v>0.074275</v>
      </c>
      <c r="B7" s="31">
        <v>743.1182925596739</v>
      </c>
      <c r="C7" s="31">
        <v>768.7052883942796</v>
      </c>
      <c r="D7" s="32">
        <v>799.1874228588165</v>
      </c>
      <c r="E7" s="31">
        <v>836.2231280131151</v>
      </c>
      <c r="F7" s="31">
        <v>882.3153589264666</v>
      </c>
    </row>
    <row r="8" spans="1:6" x14ac:dyDescent="0.25">
      <c r="A8" s="30">
        <v>0.084275</v>
      </c>
      <c r="B8" s="31">
        <v>642.1626141854507</v>
      </c>
      <c r="C8" s="31">
        <v>657.0161307743678</v>
      </c>
      <c r="D8" s="31">
        <v>674.1382585084924</v>
      </c>
      <c r="E8" s="31">
        <v>694.1559742128479</v>
      </c>
      <c r="F8" s="31">
        <v>717.9507354126184</v>
      </c>
    </row>
    <row r="9" spans="1:6" x14ac:dyDescent="0.25">
      <c r="A9" s="30">
        <v>0.094275</v>
      </c>
      <c r="B9" s="31">
        <v>566.8082688666508</v>
      </c>
      <c r="C9" s="31">
        <v>575.4971772219711</v>
      </c>
      <c r="D9" s="31">
        <v>585.2455585333057</v>
      </c>
      <c r="E9" s="31">
        <v>596.3006643656526</v>
      </c>
      <c r="F9" s="31">
        <v>608.9931715273653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14342900000</v>
      </c>
      <c r="C5" s="18">
        <v>14202000000</v>
      </c>
      <c r="D5" s="18">
        <v>13117200000</v>
      </c>
      <c r="E5" s="18">
        <v>12172900000</v>
      </c>
      <c r="F5" s="8" t="s">
        <v>84</v>
      </c>
    </row>
    <row r="6" spans="1:6" x14ac:dyDescent="0.25">
      <c r="A6" t="s">
        <v>44</v>
      </c>
      <c r="B6" s="18">
        <v>3702000000</v>
      </c>
      <c r="C6" s="18">
        <v>3990700000</v>
      </c>
      <c r="D6" s="18">
        <v>4047100000</v>
      </c>
      <c r="E6" s="18">
        <v>4738900000</v>
      </c>
      <c r="F6" s="8" t="s">
        <v>85</v>
      </c>
    </row>
    <row r="7" spans="1:6" x14ac:dyDescent="0.25">
      <c r="A7" t="s">
        <v>86</v>
      </c>
      <c r="B7" s="18">
        <v>543700000</v>
      </c>
      <c r="C7" s="18">
        <v>482900000</v>
      </c>
      <c r="D7" s="18">
        <v>421000000</v>
      </c>
      <c r="E7" s="18">
        <v>341400000</v>
      </c>
      <c r="F7" s="8" t="s">
        <v>87</v>
      </c>
    </row>
    <row r="8" spans="1:6" x14ac:dyDescent="0.25">
      <c r="A8" t="s">
        <v>88</v>
      </c>
      <c r="B8" s="18">
        <v>1213700000</v>
      </c>
      <c r="C8" s="18">
        <v>881600000</v>
      </c>
      <c r="D8" s="18">
        <v>926400000</v>
      </c>
      <c r="E8" s="18">
        <v>1616900000</v>
      </c>
      <c r="F8" s="8" t="s">
        <v>89</v>
      </c>
    </row>
    <row r="9" spans="1:6" x14ac:dyDescent="0.25">
      <c r="A9" t="s">
        <v>90</v>
      </c>
      <c r="B9" s="18">
        <v>-532600000</v>
      </c>
      <c r="C9" s="18">
        <v>618300000</v>
      </c>
      <c r="D9" s="18">
        <v>94100000</v>
      </c>
      <c r="E9" s="18">
        <v>243300000</v>
      </c>
      <c r="F9" s="8" t="s">
        <v>91</v>
      </c>
    </row>
    <row r="10" spans="1:6" x14ac:dyDescent="0.25">
      <c r="A10" t="s">
        <v>92</v>
      </c>
      <c r="B10" s="18">
        <v>2705900000</v>
      </c>
      <c r="C10" s="18">
        <v>2704400000</v>
      </c>
      <c r="D10" s="18">
        <v>2702900000</v>
      </c>
      <c r="E10" s="18">
        <v>2701400000</v>
      </c>
      <c r="F10" s="8" t="s">
        <v>93</v>
      </c>
    </row>
    <row r="11" spans="1:6" x14ac:dyDescent="0.25">
      <c r="A11" t="s">
        <v>94</v>
      </c>
      <c r="B11" s="18">
        <v>8605200000</v>
      </c>
      <c r="C11" s="18">
        <v>9012500000</v>
      </c>
      <c r="D11" s="18">
        <v>10844800000</v>
      </c>
      <c r="E11" s="18">
        <v>7742300000</v>
      </c>
      <c r="F11" s="8" t="s">
        <v>95</v>
      </c>
    </row>
    <row r="12" spans="1:6" x14ac:dyDescent="0.25">
      <c r="A12" t="s">
        <v>32</v>
      </c>
      <c r="B12" s="34">
        <v>108600000</v>
      </c>
      <c r="C12" s="34">
        <v>115100000</v>
      </c>
      <c r="D12" s="34">
        <v>113700000</v>
      </c>
      <c r="E12" s="34">
        <v>113500000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2026-09-19T00:08:15Z</dcterms:modified>
</cp:coreProperties>
</file>