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<sst xmlns="http://schemas.openxmlformats.org/spreadsheetml/2006/main" count="121" uniqueCount="108">
  <si>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Regeneron Pharmaceuticals, Inc. (REGN)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</si>
  <si>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</si>
  <si>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</si>
  <si>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</si>
  <si>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</si>
  <si>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</si>
  <si>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</si>
  <si>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</si>
  <si>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</si>
  <si>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</si>
  <si>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</si>
  <si>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</si>
  <si>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</si>
  <si>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</si>
  <si>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</si>
  <si>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</si>
  <si>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</si>
  <si>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</si>
  <si>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</si>
  <si>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</si>
  <si>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</si>
  <si>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</si>
  <si>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</si>
  <si>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</si>
  <si>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84.5x interest cover. Book interest / average debt was lower, at 1.6%.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</si>
  <si>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</si>
  <si>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</si>
  <si>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</si>
  <si>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</si>
  <si>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</si>
  <si>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</si>
  <si>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</si>
  <si>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</si>
  <si>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</si>
  <si>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</si>
  <si>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</si>
  <si>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</si>
  <si>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</si>
  <si>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</si>
  <si>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</si>
  <si>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</si>
  <si>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</si>
  <si>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</si>
  <si>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</si>
  <si>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</si>
  <si>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</si>
  <si>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</si>
  <si>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</si>
  <si>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</si>
  <si>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</si>
  <si>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</si>
  <si>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</si>
  <si>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</si>
  <si>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</si>
  <si>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</si>
  <si>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</si>
  <si>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</si>
  <si>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</si>
  <si>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</si>
  <si>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</si>
  <si>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</si>
  <si>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</si>
  <si>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</si>
  <si>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</si>
  <si>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</si>
  <si>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</si>
  <si>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</si>
  <si>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</si>
  <si>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</si>
  <si>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</si>
  <si>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</si>
  <si>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</si>
  <si>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</si>
  <si>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</si>
  <si>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</si>
  <si>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</si>
  <si>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</si>
  <si>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</si>
  <si>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</si>
  <si>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</si>
  <si>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</si>
  <si>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</si>
  <si>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</si>
  <si>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</si>
  <si>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</si>
  <si>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</si>
  <si>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</si>
  <si>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</si>
  <si>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</si>
  <si>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</si>
  <si>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</si>
  <si>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</si>
  <si>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</si>
  <si>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</si>
  <si>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</si>
  <si>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</si>
  <si>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</si>
  <si>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</si>
  <si>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</si>
  <si>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</si>
  <si>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</si>
  <si>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</si>
  <si>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</si>
  <si>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</si>
  <si>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</si>
  <si>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8.8% of revenue against depreciation of 3.3%.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</si>
  <si>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21.2x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</si>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</sst>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0.22737930962357678</v>
      </c>
    </row>
    <row r="7" spans="1:2" x14ac:dyDescent="0.25">
      <c r="A7" t="s">
        <v>4</v>
      </c>
      <c r="B7" s="5">
        <v>0.30923386182774304</v>
      </c>
    </row>
    <row r="8" spans="1:2" x14ac:dyDescent="0.25">
      <c r="A8" t="s">
        <v>5</v>
      </c>
      <c r="B8" s="5">
        <v>0.09197362332969689</v>
      </c>
    </row>
    <row r="9" spans="1:2" x14ac:dyDescent="0.25">
      <c r="A9" t="s">
        <v>6</v>
      </c>
      <c r="B9" s="5">
        <v>0.03301266998369246</v>
      </c>
    </row>
    <row r="10" spans="1:3" x14ac:dyDescent="0.25">
      <c r="A10" t="s">
        <v>7</v>
      </c>
      <c r="B10" s="5">
        <v>0.08753717410332651</v>
      </c>
      <c r="C10" s="6" t="s">
        <v>8</v>
      </c>
    </row>
    <row r="11" spans="1:2" x14ac:dyDescent="0.25">
      <c r="A11" t="s">
        <v>9</v>
      </c>
      <c r="B11" s="5">
        <v>0.5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0.12354179029047041</v>
      </c>
      <c r="C14" s="6" t="s">
        <v>13</v>
      </c>
    </row>
    <row r="15" spans="1:3" x14ac:dyDescent="0.25">
      <c r="A15" t="s">
        <v>14</v>
      </c>
      <c r="B15" s="5">
        <v>0.024988241632651467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0.43250999999999995</v>
      </c>
      <c r="C19" s="6" t="s">
        <v>21</v>
      </c>
    </row>
    <row r="20" spans="1:2" x14ac:dyDescent="0.25">
      <c r="A20" t="s">
        <v>22</v>
      </c>
      <c r="B20" s="9">
        <f>B17+B19*B18</f>
        <v>0.06723517300000001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95988236288</v>
      </c>
    </row>
    <row r="23" spans="1:2" x14ac:dyDescent="0.25">
      <c r="A23" t="s">
        <v>26</v>
      </c>
      <c r="B23" s="10">
        <v>2705900000</v>
      </c>
    </row>
    <row r="24" spans="1:2" x14ac:dyDescent="0.25">
      <c r="A24" t="s">
        <v>27</v>
      </c>
      <c r="B24" s="9">
        <f>B22/(B22+B23)</f>
        <v>0.9725829709669489</v>
      </c>
    </row>
    <row r="25" spans="1:2" x14ac:dyDescent="0.25">
      <c r="A25" t="s">
        <v>28</v>
      </c>
      <c r="B25" s="9">
        <f>1-B24</f>
        <v>0.0274170290330511</v>
      </c>
    </row>
    <row r="26" spans="1:2" x14ac:dyDescent="0.25">
      <c r="A26" t="s">
        <v>29</v>
      </c>
      <c r="B26" s="11">
        <f>B24*B20+B25*B21*(1-B8)</f>
        <v>0.066709746019878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14342900000</v>
      </c>
      <c r="C29" s="6" t="s">
        <v>32</v>
      </c>
    </row>
    <row r="30" spans="1:2" x14ac:dyDescent="0.25">
      <c r="A30" t="s">
        <v>33</v>
      </c>
      <c r="B30" s="10">
        <v>-5899300000</v>
      </c>
    </row>
    <row r="31" spans="1:2" x14ac:dyDescent="0.25">
      <c r="A31" t="s">
        <v>34</v>
      </c>
      <c r="B31" s="12">
        <v>108600000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0.22737930962357678</v>
      </c>
      <c r="C5" s="5">
        <v>0.11264031192775836</v>
      </c>
      <c r="D5" s="5">
        <v>0.10168527293678857</v>
      </c>
      <c r="E5" s="5">
        <v>0.09073023394581878</v>
      </c>
      <c r="F5" s="5">
        <v>0.07977519495484897</v>
      </c>
      <c r="G5" s="5">
        <v>0.06882015596387918</v>
      </c>
      <c r="H5" s="5">
        <v>0.057865116972909386</v>
      </c>
      <c r="I5" s="5">
        <v>0.04691007798193958</v>
      </c>
      <c r="J5" s="5">
        <v>0.03595503899096979</v>
      </c>
      <c r="K5" s="5">
        <v>0.024999999999999994</v>
      </c>
    </row>
    <row r="6" spans="1:11" x14ac:dyDescent="0.25">
      <c r="A6" t="s">
        <v>50</v>
      </c>
      <c r="B6" s="18">
        <f>Assumptions!B29*(1+B5)</f>
        <v>17604178700</v>
      </c>
      <c r="C6" s="18">
        <f>B6*(1+C5)</f>
        <v>19587118880</v>
      </c>
      <c r="D6" s="18">
        <f>C6*(1+D5)</f>
        <v>21578840409.358124</v>
      </c>
      <c r="E6" s="18">
        <f>D6*(1+E5)</f>
        <v>23536693647.978672</v>
      </c>
      <c r="F6" s="18">
        <f>E6*(1+F5)</f>
        <v>25414337972.338722</v>
      </c>
      <c r="G6" s="18">
        <f>F6*(1+G5)</f>
        <v>27163356675.313812</v>
      </c>
      <c r="H6" s="18">
        <f>G6*(1+H5)</f>
        <v>28735167486.707706</v>
      </c>
      <c r="I6" s="18">
        <f>H6*(1+I5)</f>
        <v>30083136434.33326</v>
      </c>
      <c r="J6" s="18">
        <f>I6*(1+J5)</f>
        <v>31164776777.800373</v>
      </c>
      <c r="K6" s="18">
        <f>J6*(1+K5)</f>
        <v>31943896197.24538</v>
      </c>
    </row>
    <row r="7" spans="1:11" x14ac:dyDescent="0.25">
      <c r="A7" t="s">
        <v>4</v>
      </c>
      <c r="B7" s="9">
        <f>Assumptions!B7</f>
        <v>0.30923386182774304</v>
      </c>
      <c r="C7" s="9">
        <f>Assumptions!B7</f>
        <v>0.30923386182774304</v>
      </c>
      <c r="D7" s="9">
        <f>Assumptions!B7</f>
        <v>0.30923386182774304</v>
      </c>
      <c r="E7" s="9">
        <f>Assumptions!B7</f>
        <v>0.30923386182774304</v>
      </c>
      <c r="F7" s="9">
        <f>Assumptions!B7</f>
        <v>0.30923386182774304</v>
      </c>
      <c r="G7" s="9">
        <f>Assumptions!B7</f>
        <v>0.30923386182774304</v>
      </c>
      <c r="H7" s="9">
        <f>Assumptions!B7</f>
        <v>0.30923386182774304</v>
      </c>
      <c r="I7" s="9">
        <f>Assumptions!B7</f>
        <v>0.30923386182774304</v>
      </c>
      <c r="J7" s="9">
        <f>Assumptions!B7</f>
        <v>0.30923386182774304</v>
      </c>
      <c r="K7" s="9">
        <f>Assumptions!B7</f>
        <v>0.30923386182774304</v>
      </c>
    </row>
    <row r="8" spans="1:11" x14ac:dyDescent="0.25">
      <c r="A8" t="s">
        <v>51</v>
      </c>
      <c r="B8" s="18">
        <f>B6*B7</f>
        <v>5443808163.706697</v>
      </c>
      <c r="C8" s="18">
        <f>C6*C7</f>
        <v>6057000413.341497</v>
      </c>
      <c r="D8" s="18">
        <f>D6*D7</f>
        <v>6672908153.550368</v>
      </c>
      <c r="E8" s="18">
        <f>E6*E7</f>
        <v>7278342671.420954</v>
      </c>
      <c r="F8" s="18">
        <f>F6*F7</f>
        <v>7858973876.981755</v>
      </c>
      <c r="G8" s="18">
        <f>G6*G7</f>
        <v>8399829684.911693</v>
      </c>
      <c r="H8" s="18">
        <f>H6*H7</f>
        <v>8885886812.181625</v>
      </c>
      <c r="I8" s="18">
        <f>I6*I7</f>
        <v>9302724455.479753</v>
      </c>
      <c r="J8" s="18">
        <f>J6*J7</f>
        <v>9637204275.998775</v>
      </c>
      <c r="K8" s="18">
        <f>K6*K7</f>
        <v>9878134382.898745</v>
      </c>
    </row>
    <row r="9" spans="1:11" x14ac:dyDescent="0.25">
      <c r="A9" t="s">
        <v>52</v>
      </c>
      <c r="B9" s="18">
        <f>B8*(1-Assumptions!B8)</f>
        <v>4943121402.178809</v>
      </c>
      <c r="C9" s="18">
        <f>C8*(1-Assumptions!B8)</f>
        <v>5499916138.817009</v>
      </c>
      <c r="D9" s="18">
        <f>D8*(1-Assumptions!B8)</f>
        <v>6059176612.522064</v>
      </c>
      <c r="E9" s="18">
        <f>E8*(1-Assumptions!B8)</f>
        <v>6608927124.095223</v>
      </c>
      <c r="F9" s="18">
        <f>F8*(1-Assumptions!B8)</f>
        <v>7136155573.8623085</v>
      </c>
      <c r="G9" s="18">
        <f>G8*(1-Assumptions!B8)</f>
        <v>7627266913.438019</v>
      </c>
      <c r="H9" s="18">
        <f>H8*(1-Assumptions!B8)</f>
        <v>8068619605.567712</v>
      </c>
      <c r="I9" s="18">
        <f>I8*(1-Assumptions!B8)</f>
        <v>8447119180.471499</v>
      </c>
      <c r="J9" s="18">
        <f>J8*(1-Assumptions!B8)</f>
        <v>8750835679.96672</v>
      </c>
      <c r="K9" s="18">
        <f>K8*(1-Assumptions!B8)</f>
        <v>8969606571.965889</v>
      </c>
    </row>
    <row r="10" spans="1:11" x14ac:dyDescent="0.25">
      <c r="A10" t="s">
        <v>53</v>
      </c>
      <c r="B10" s="18">
        <f>B6*Assumptions!B9</f>
        <v>581160941.7570482</v>
      </c>
      <c r="C10" s="18">
        <f>C6*Assumptions!B9</f>
        <v>646623091.5167919</v>
      </c>
      <c r="D10" s="18">
        <f>D6*Assumptions!B9</f>
        <v>712375137.064907</v>
      </c>
      <c r="E10" s="18">
        <f>E6*Assumptions!B9</f>
        <v>777009099.9079906</v>
      </c>
      <c r="F10" s="18">
        <f>F6*Assumptions!B9</f>
        <v>838995152.3348421</v>
      </c>
      <c r="G10" s="18">
        <f>G6*Assumptions!B9</f>
        <v>896734929.5714645</v>
      </c>
      <c r="H10" s="18">
        <f>H6*Assumptions!B9</f>
        <v>948624601.164811</v>
      </c>
      <c r="I10" s="18">
        <f>I6*Assumptions!B9</f>
        <v>993124655.1810387</v>
      </c>
      <c r="J10" s="18">
        <f>J6*Assumptions!B9</f>
        <v>1028832490.8809663</v>
      </c>
      <c r="K10" s="18">
        <f>K6*Assumptions!B9</f>
        <v>1054553303.1529903</v>
      </c>
    </row>
    <row r="11" spans="1:11" x14ac:dyDescent="0.25">
      <c r="A11" t="s">
        <v>54</v>
      </c>
      <c r="B11" s="18">
        <f>-B6*B19</f>
        <v>-1541020055.8079722</v>
      </c>
      <c r="C11" s="18">
        <f>-C6*C19</f>
        <v>-1705344831.650355</v>
      </c>
      <c r="D11" s="18">
        <f>-D6*D19</f>
        <v>-1868555862.7542467</v>
      </c>
      <c r="E11" s="18">
        <f>-E6*E19</f>
        <v>-2026967735.1442716</v>
      </c>
      <c r="F11" s="18">
        <f>-F6*F19</f>
        <v>-2176659532.5749936</v>
      </c>
      <c r="G11" s="18">
        <f>-G6*G19</f>
        <v>-2313621105.729411</v>
      </c>
      <c r="H11" s="18">
        <f>-H6*H19</f>
        <v>-2433919802.1376867</v>
      </c>
      <c r="I11" s="18">
        <f>-I6*I19</f>
        <v>-2533878906.229652</v>
      </c>
      <c r="J11" s="18">
        <f>-J6*J19</f>
        <v>-2610257211.16038</v>
      </c>
      <c r="K11" s="18">
        <f>-K6*K19</f>
        <v>-2660418046.2497053</v>
      </c>
    </row>
    <row r="12" spans="1:11" x14ac:dyDescent="0.25">
      <c r="A12" t="s">
        <v>55</v>
      </c>
      <c r="B12" s="18">
        <f>-(B6-Assumptions!B29)*Assumptions!B11</f>
        <v>-1630639350</v>
      </c>
      <c r="C12" s="18">
        <f>-(C6-B6)*Assumptions!B11</f>
        <v>-991470090</v>
      </c>
      <c r="D12" s="18">
        <f>-(D6-C6)*Assumptions!B11</f>
        <v>-995860764.6790619</v>
      </c>
      <c r="E12" s="18">
        <f>-(E6-D6)*Assumptions!B11</f>
        <v>-978926619.3102741</v>
      </c>
      <c r="F12" s="18">
        <f>-(F6-E6)*Assumptions!B11</f>
        <v>-938822162.1800251</v>
      </c>
      <c r="G12" s="18">
        <f>-(G6-F6)*Assumptions!B11</f>
        <v>-874509351.487545</v>
      </c>
      <c r="H12" s="18">
        <f>-(H6-G6)*Assumptions!B11</f>
        <v>-785905405.6969471</v>
      </c>
      <c r="I12" s="18">
        <f>-(I6-H6)*Assumptions!B11</f>
        <v>-673984473.8127766</v>
      </c>
      <c r="J12" s="18">
        <f>-(J6-I6)*Assumptions!B11</f>
        <v>-540820171.7335567</v>
      </c>
      <c r="K12" s="18">
        <f>-(K6-J6)*Assumptions!B11</f>
        <v>-389559709.72250366</v>
      </c>
    </row>
    <row r="13" spans="1:11" x14ac:dyDescent="0.25">
      <c r="A13" s="19" t="s">
        <v>56</v>
      </c>
      <c r="B13" s="20">
        <f>B9+B10+B11+B12</f>
        <v>2352622938.127886</v>
      </c>
      <c r="C13" s="20">
        <f>C9+C10+C11+C12</f>
        <v>3449724308.683446</v>
      </c>
      <c r="D13" s="20">
        <f>D9+D10+D11+D12</f>
        <v>3907135122.1536627</v>
      </c>
      <c r="E13" s="20">
        <f>E9+E10+E11+E12</f>
        <v>4380041869.548668</v>
      </c>
      <c r="F13" s="20">
        <f>F9+F10+F11+F12</f>
        <v>4859669031.442131</v>
      </c>
      <c r="G13" s="20">
        <f>G9+G10+G11+G12</f>
        <v>5335871385.792527</v>
      </c>
      <c r="H13" s="20">
        <f>H9+H10+H11+H12</f>
        <v>5797418998.897889</v>
      </c>
      <c r="I13" s="20">
        <f>I9+I10+I11+I12</f>
        <v>6232380455.610109</v>
      </c>
      <c r="J13" s="20">
        <f>J9+J10+J11+J12</f>
        <v>6628590787.953751</v>
      </c>
      <c r="K13" s="20">
        <f>K9+K10+K11+K12</f>
        <v>6974182119.14667</v>
      </c>
    </row>
    <row r="14" spans="1:11" x14ac:dyDescent="0.25">
      <c r="A14" t="s">
        <v>57</v>
      </c>
      <c r="B14" s="21">
        <f>1/(1+Assumptions!$B$26)^(1-0.5*Assumptions!$B$32)</f>
        <v>0.9682262849232675</v>
      </c>
      <c r="C14" s="21">
        <f>1/(1+Assumptions!$B$26)^(2-0.5*Assumptions!$B$32)</f>
        <v>0.9076754839223384</v>
      </c>
      <c r="D14" s="21">
        <f>1/(1+Assumptions!$B$26)^(3-0.5*Assumptions!$B$32)</f>
        <v>0.8509114005089665</v>
      </c>
      <c r="E14" s="21">
        <f>1/(1+Assumptions!$B$26)^(4-0.5*Assumptions!$B$32)</f>
        <v>0.7976972214643193</v>
      </c>
      <c r="F14" s="21">
        <f>1/(1+Assumptions!$B$26)^(5-0.5*Assumptions!$B$32)</f>
        <v>0.7478109433617703</v>
      </c>
      <c r="G14" s="21">
        <f>1/(1+Assumptions!$B$26)^(6-0.5*Assumptions!$B$32)</f>
        <v>0.7010444463941693</v>
      </c>
      <c r="H14" s="21">
        <f>1/(1+Assumptions!$B$26)^(7-0.5*Assumptions!$B$32)</f>
        <v>0.6572026261219754</v>
      </c>
      <c r="I14" s="21">
        <f>1/(1+Assumptions!$B$26)^(8-0.5*Assumptions!$B$32)</f>
        <v>0.6161025795200044</v>
      </c>
      <c r="J14" s="21">
        <f>1/(1+Assumptions!$B$26)^(9-0.5*Assumptions!$B$32)</f>
        <v>0.5775728419270703</v>
      </c>
      <c r="K14" s="21">
        <f>1/(1+Assumptions!$B$26)^(10-0.5*Assumptions!$B$32)</f>
        <v>0.5414526717151671</v>
      </c>
    </row>
    <row r="15" spans="1:11" x14ac:dyDescent="0.25">
      <c r="A15" s="19" t="s">
        <v>58</v>
      </c>
      <c r="B15" s="20">
        <f>B13*B14</f>
        <v>2277871367.208825</v>
      </c>
      <c r="C15" s="20">
        <f>C13*C14</f>
        <v>3131230181.2829013</v>
      </c>
      <c r="D15" s="20">
        <f>D13*D14</f>
        <v>3324625818.769545</v>
      </c>
      <c r="E15" s="20">
        <f>E13*E14</f>
        <v>3493947229.236355</v>
      </c>
      <c r="F15" s="20">
        <f>F13*F14</f>
        <v>3634113682.8287206</v>
      </c>
      <c r="G15" s="20">
        <f>G13*G14</f>
        <v>3740683001.683411</v>
      </c>
      <c r="H15" s="20">
        <f>H13*H14</f>
        <v>3810078990.8051267</v>
      </c>
      <c r="I15" s="20">
        <f>I13*I14</f>
        <v>3839785675.251448</v>
      </c>
      <c r="J15" s="20">
        <f>J13*J14</f>
        <v>3828494019.3700457</v>
      </c>
      <c r="K15" s="20">
        <f>K13*K14</f>
        <v>3776189541.44011</v>
      </c>
    </row>
    <row r="17" spans="1:2" x14ac:dyDescent="0.25">
      <c r="A17" s="22" t="s">
        <v>59</v>
      </c>
      <c r="B17" s="23">
        <f>SUM(B15:K15)</f>
        <v>34857019507.87649</v>
      </c>
    </row>
    <row r="19" spans="1:11" x14ac:dyDescent="0.25">
      <c r="A19" t="s">
        <v>7</v>
      </c>
      <c r="B19" s="9">
        <f>Assumptions!$B$10+($B$20-Assumptions!$B$10)*0/9</f>
        <v>0.08753717410332651</v>
      </c>
      <c r="C19" s="9">
        <f>Assumptions!$B$10+($B$20-Assumptions!$B$10)*1/9</f>
        <v>0.08706460823044512</v>
      </c>
      <c r="D19" s="9">
        <f>Assumptions!$B$10+($B$20-Assumptions!$B$10)*2/9</f>
        <v>0.08659204235756374</v>
      </c>
      <c r="E19" s="9">
        <f>Assumptions!$B$10+($B$20-Assumptions!$B$10)*3/9</f>
        <v>0.08611947648468235</v>
      </c>
      <c r="F19" s="9">
        <f>Assumptions!$B$10+($B$20-Assumptions!$B$10)*4/9</f>
        <v>0.08564691061180096</v>
      </c>
      <c r="G19" s="9">
        <f>Assumptions!$B$10+($B$20-Assumptions!$B$10)*5/9</f>
        <v>0.08517434473891958</v>
      </c>
      <c r="H19" s="9">
        <f>Assumptions!$B$10+($B$20-Assumptions!$B$10)*6/9</f>
        <v>0.08470177886603819</v>
      </c>
      <c r="I19" s="9">
        <f>Assumptions!$B$10+($B$20-Assumptions!$B$10)*7/9</f>
        <v>0.0842292129931568</v>
      </c>
      <c r="J19" s="9">
        <f>Assumptions!$B$10+($B$20-Assumptions!$B$10)*8/9</f>
        <v>0.08375664712027542</v>
      </c>
      <c r="K19" s="9">
        <f>Assumptions!$B$10+($B$20-Assumptions!$B$10)*9/9</f>
        <v>0.08328408124739403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0.08328408124739403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6974182119.14667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9202362340.846918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0.20236067440191868</v>
      </c>
    </row>
    <row r="7" spans="1:2" x14ac:dyDescent="0.25">
      <c r="A7" t="s">
        <v>66</v>
      </c>
      <c r="B7" s="18">
        <f>-MAX(B5,0)*B6</f>
        <v>-1862196249.3846014</v>
      </c>
    </row>
    <row r="8" spans="1:2" x14ac:dyDescent="0.25">
      <c r="A8" t="s">
        <v>67</v>
      </c>
      <c r="B8" s="18">
        <f>IF(OR(Assumptions!$B$33=0,Assumptions!B12&lt;=0),B5,MAX(B5+B7,0))</f>
        <v>7340166091.4623165</v>
      </c>
    </row>
    <row r="9" spans="1:2" x14ac:dyDescent="0.25">
      <c r="A9" t="s">
        <v>68</v>
      </c>
      <c r="B9" s="18">
        <f>B8*(1+Assumptions!B12)/(Assumptions!B26-Assumptions!B12)</f>
        <v>180381588518.02283</v>
      </c>
    </row>
    <row r="10" spans="1:2" x14ac:dyDescent="0.25">
      <c r="A10" t="s">
        <v>69</v>
      </c>
      <c r="B10" s="18">
        <f>B9/(1+Assumptions!B26)^(10-0.5*Assumptions!B32)</f>
        <v>97668093031.30937</v>
      </c>
    </row>
    <row r="11" spans="1:2" x14ac:dyDescent="0.25">
      <c r="A11" t="s">
        <v>70</v>
      </c>
      <c r="B11" s="18">
        <f>Forecast!B17+B10</f>
        <v>132525112539.18585</v>
      </c>
    </row>
    <row r="12" spans="1:2" x14ac:dyDescent="0.25">
      <c r="A12" t="s">
        <v>71</v>
      </c>
      <c r="B12" s="18">
        <f>-Assumptions!B30</f>
        <v>5899300000</v>
      </c>
    </row>
    <row r="13" spans="1:2" x14ac:dyDescent="0.25">
      <c r="A13" t="s">
        <v>72</v>
      </c>
      <c r="B13" s="18">
        <f>B11+B12</f>
        <v>138424412539.18585</v>
      </c>
    </row>
    <row r="14" spans="1:2" x14ac:dyDescent="0.25">
      <c r="A14" s="19" t="s">
        <v>73</v>
      </c>
      <c r="B14" s="24">
        <f>B13/Assumptions!B31</f>
        <v>1274.626266475008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10932687686.051735</v>
      </c>
    </row>
    <row r="18" spans="1:2" x14ac:dyDescent="0.25">
      <c r="A18" t="s">
        <v>68</v>
      </c>
      <c r="B18" s="18">
        <f>B17*Assumptions!B13</f>
        <v>218653753721.0347</v>
      </c>
    </row>
    <row r="19" spans="1:2" x14ac:dyDescent="0.25">
      <c r="A19" t="s">
        <v>69</v>
      </c>
      <c r="B19" s="18">
        <f>B18/(1+Assumptions!B26)^(10-0.5*Assumptions!B32)</f>
        <v>118390659132.8044</v>
      </c>
    </row>
    <row r="20" spans="1:2" x14ac:dyDescent="0.25">
      <c r="A20" t="s">
        <v>70</v>
      </c>
      <c r="B20" s="18">
        <f>Forecast!B17+B19</f>
        <v>153247678640.68088</v>
      </c>
    </row>
    <row r="21" spans="1:2" x14ac:dyDescent="0.25">
      <c r="A21" t="s">
        <v>71</v>
      </c>
      <c r="B21" s="18">
        <f>-Assumptions!B30</f>
        <v>5899300000</v>
      </c>
    </row>
    <row r="22" spans="1:2" x14ac:dyDescent="0.25">
      <c r="A22" t="s">
        <v>72</v>
      </c>
      <c r="B22" s="18">
        <f>B20+B21</f>
        <v>159146978640.68088</v>
      </c>
    </row>
    <row r="23" spans="1:2" x14ac:dyDescent="0.25">
      <c r="A23" s="19" t="s">
        <v>73</v>
      </c>
      <c r="B23" s="25">
        <f>B22/Assumptions!B31</f>
        <v>1465.4417922714629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927.89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1274.626266475008</v>
      </c>
    </row>
    <row r="29" spans="1:2" x14ac:dyDescent="0.25">
      <c r="A29" s="19" t="s">
        <v>81</v>
      </c>
      <c r="B29" s="11">
        <f>B28/B26-1</f>
        <v>0.37368251244760464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0.04671</v>
      </c>
      <c r="B5" s="31">
        <v>1976.5815106527727</v>
      </c>
      <c r="C5" s="31">
        <v>2178.6521056940824</v>
      </c>
      <c r="D5" s="31">
        <v>2477.9330367341095</v>
      </c>
      <c r="E5" s="31">
        <v>2961.686723879424</v>
      </c>
      <c r="F5" s="31">
        <v>3866.214733447642</v>
      </c>
    </row>
    <row r="6" spans="1:6" x14ac:dyDescent="0.25">
      <c r="A6" s="30">
        <v>0.05671</v>
      </c>
      <c r="B6" s="31">
        <v>1485.6100004296682</v>
      </c>
      <c r="C6" s="31">
        <v>1570.8121364097647</v>
      </c>
      <c r="D6" s="31">
        <v>1685.551072886682</v>
      </c>
      <c r="E6" s="31">
        <v>1846.4143054595356</v>
      </c>
      <c r="F6" s="31">
        <v>2085.270302181711</v>
      </c>
    </row>
    <row r="7" spans="1:6" x14ac:dyDescent="0.25">
      <c r="A7" s="30">
        <v>0.06671</v>
      </c>
      <c r="B7" s="31">
        <v>1186.1966289589311</v>
      </c>
      <c r="C7" s="31">
        <v>1224.8206234478282</v>
      </c>
      <c r="D7" s="32">
        <v>1274.6183498026733</v>
      </c>
      <c r="E7" s="31">
        <v>1340.1554843511508</v>
      </c>
      <c r="F7" s="31">
        <v>1428.8773479038707</v>
      </c>
    </row>
    <row r="8" spans="1:6" x14ac:dyDescent="0.25">
      <c r="A8" s="30">
        <v>0.07671</v>
      </c>
      <c r="B8" s="31">
        <v>985.104416605441</v>
      </c>
      <c r="C8" s="31">
        <v>1002.0523016108929</v>
      </c>
      <c r="D8" s="31">
        <v>1023.7353754275073</v>
      </c>
      <c r="E8" s="31">
        <v>1051.6742510325375</v>
      </c>
      <c r="F8" s="31">
        <v>1088.1186773309514</v>
      </c>
    </row>
    <row r="9" spans="1:6" x14ac:dyDescent="0.25">
      <c r="A9" s="30">
        <v>0.08671</v>
      </c>
      <c r="B9" s="31">
        <v>841.1131188470438</v>
      </c>
      <c r="C9" s="31">
        <v>847.0114099234078</v>
      </c>
      <c r="D9" s="31">
        <v>855.0200588196212</v>
      </c>
      <c r="E9" s="31">
        <v>865.6972628077307</v>
      </c>
      <c r="F9" s="31">
        <v>879.8171144496858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14342900000</v>
      </c>
      <c r="C5" s="18">
        <v>14202000000</v>
      </c>
      <c r="D5" s="18">
        <v>13117200000</v>
      </c>
      <c r="E5" s="18">
        <v>12172900000</v>
      </c>
      <c r="F5" s="6" t="s">
        <v>91</v>
      </c>
    </row>
    <row r="6" spans="1:6" x14ac:dyDescent="0.25">
      <c r="A6" t="s">
        <v>51</v>
      </c>
      <c r="B6" s="18">
        <v>3702000000</v>
      </c>
      <c r="C6" s="18">
        <v>3990700000</v>
      </c>
      <c r="D6" s="18">
        <v>4047100000</v>
      </c>
      <c r="E6" s="18">
        <v>4738900000</v>
      </c>
      <c r="F6" s="6" t="s">
        <v>92</v>
      </c>
    </row>
    <row r="7" spans="1:6" x14ac:dyDescent="0.25">
      <c r="A7" t="s">
        <v>93</v>
      </c>
      <c r="B7" s="18">
        <v>543700000</v>
      </c>
      <c r="C7" s="18">
        <v>482900000</v>
      </c>
      <c r="D7" s="18">
        <v>421000000</v>
      </c>
      <c r="E7" s="18">
        <v>341400000</v>
      </c>
      <c r="F7" s="6" t="s">
        <v>94</v>
      </c>
    </row>
    <row r="8" spans="1:6" x14ac:dyDescent="0.25">
      <c r="A8" t="s">
        <v>95</v>
      </c>
      <c r="B8" s="18">
        <v>1213700000</v>
      </c>
      <c r="C8" s="18">
        <v>881600000</v>
      </c>
      <c r="D8" s="18">
        <v>926400000</v>
      </c>
      <c r="E8" s="18">
        <v>1616900000</v>
      </c>
      <c r="F8" s="6" t="s">
        <v>96</v>
      </c>
    </row>
    <row r="9" spans="1:6" x14ac:dyDescent="0.25">
      <c r="A9" t="s">
        <v>97</v>
      </c>
      <c r="B9" s="18">
        <v>-532600000</v>
      </c>
      <c r="C9" s="18">
        <v>618300000</v>
      </c>
      <c r="D9" s="18">
        <v>94100000</v>
      </c>
      <c r="E9" s="18">
        <v>243300000</v>
      </c>
      <c r="F9" s="6" t="s">
        <v>98</v>
      </c>
    </row>
    <row r="10" spans="1:6" x14ac:dyDescent="0.25">
      <c r="A10" t="s">
        <v>99</v>
      </c>
      <c r="B10" s="18">
        <v>2705900000</v>
      </c>
      <c r="C10" s="18">
        <v>2704400000</v>
      </c>
      <c r="D10" s="18">
        <v>2702900000</v>
      </c>
      <c r="E10" s="18">
        <v>2701400000</v>
      </c>
      <c r="F10" s="6" t="s">
        <v>100</v>
      </c>
    </row>
    <row r="11" spans="1:6" x14ac:dyDescent="0.25">
      <c r="A11" t="s">
        <v>101</v>
      </c>
      <c r="B11" s="18">
        <v>8605200000</v>
      </c>
      <c r="C11" s="18">
        <v>9012500000</v>
      </c>
      <c r="D11" s="18">
        <v>10844800000</v>
      </c>
      <c r="E11" s="18">
        <v>7742300000</v>
      </c>
      <c r="F11" s="6" t="s">
        <v>102</v>
      </c>
    </row>
    <row r="12" spans="1:6" x14ac:dyDescent="0.25">
      <c r="A12" t="s">
        <v>34</v>
      </c>
      <c r="B12" s="34">
        <v>108600000</v>
      </c>
      <c r="C12" s="34">
        <v>115100000</v>
      </c>
      <c r="D12" s="34">
        <v>113700000</v>
      </c>
      <c r="E12" s="34">
        <v>113500000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