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<sst xmlns="http://schemas.openxmlformats.org/spreadsheetml/2006/main" count="114" uniqueCount="102">
  <si>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Reece Limited (REH.AX)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</si>
  <si>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</si>
  <si>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</si>
  <si>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</si>
  <si>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</si>
  <si>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</si>
  <si>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</si>
  <si>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</si>
  <si>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</si>
  <si>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</si>
  <si>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</si>
  <si>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</si>
  <si>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</si>
  <si>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</si>
  <si>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</si>
  <si>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</si>
  <si>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</si>
  <si>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</si>
  <si>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</si>
  <si>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</si>
  <si>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</si>
  <si>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</si>
  <si>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</si>
  <si>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</si>
  <si>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</si>
  <si>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</si>
  <si>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</si>
  <si>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</si>
  <si>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</si>
  <si>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</si>
  <si>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</si>
  <si>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</si>
  <si>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</si>
  <si>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</si>
  <si>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</si>
  <si>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</si>
  <si>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</si>
  <si>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</si>
  <si>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</si>
  <si>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</si>
  <si>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</si>
  <si>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</si>
  <si>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</si>
  <si>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</si>
  <si>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</si>
  <si>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</si>
  <si>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</si>
  <si>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</si>
  <si>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</si>
  <si>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</si>
  <si>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</si>
  <si>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</si>
  <si>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</si>
  <si>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</si>
  <si>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</si>
  <si>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</si>
  <si>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</si>
  <si>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</si>
  <si>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</si>
  <si>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</si>
  <si>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</si>
  <si>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</si>
  <si>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</si>
  <si>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</si>
  <si>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</si>
  <si>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</si>
  <si>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</si>
  <si>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</si>
  <si>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</si>
  <si>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</si>
  <si>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</si>
  <si>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</si>
  <si>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</si>
  <si>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</si>
  <si>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</si>
  <si>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</si>
  <si>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</si>
  <si>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</si>
  <si>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</si>
  <si>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</si>
  <si>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</si>
  <si>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</si>
  <si>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</si>
  <si>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</si>
  <si>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</si>
  <si>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</si>
  <si>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</si>
  <si>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</si>
  <si>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</si>
  <si>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</si>
  <si>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</si>
  <si>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</si>
  <si>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</si>
  <si>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</si>
  <si>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</si>
  <si>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</si>
  <si>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</si>
  <si>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</si>
  <si>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0.4%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</si>
  <si>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</si>
  <si>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Current EV/EBITDA of 23.2x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</si>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</sst>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0.019920489734036373</v>
      </c>
    </row>
    <row r="7" spans="1:2" x14ac:dyDescent="0.25">
      <c r="A7" t="s">
        <v>5</v>
      </c>
      <c r="B7" s="6">
        <v>0.02970850042559777</v>
      </c>
    </row>
    <row r="8" spans="1:2" x14ac:dyDescent="0.25">
      <c r="A8" t="s">
        <v>6</v>
      </c>
      <c r="B8" s="6">
        <v>0.29283223384142487</v>
      </c>
    </row>
    <row r="9" spans="1:2" x14ac:dyDescent="0.25">
      <c r="A9" t="s">
        <v>7</v>
      </c>
      <c r="B9" s="6">
        <v>0.03673376989534015</v>
      </c>
    </row>
    <row r="10" spans="1:2" x14ac:dyDescent="0.25">
      <c r="A10" t="s">
        <v>8</v>
      </c>
      <c r="B10" s="6">
        <v>0.023945572642592963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0.10214562318653511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1.04556</v>
      </c>
      <c r="C19" s="8" t="s">
        <v>19</v>
      </c>
    </row>
    <row r="20" spans="1:2" x14ac:dyDescent="0.25">
      <c r="A20" t="s">
        <v>20</v>
      </c>
      <c r="B20" s="10">
        <f>B17+B19*B18</f>
        <v>0.1162136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10302790656</v>
      </c>
    </row>
    <row r="23" spans="1:2" x14ac:dyDescent="0.25">
      <c r="A23" t="s">
        <v>24</v>
      </c>
      <c r="B23" s="11">
        <v>2253191000</v>
      </c>
    </row>
    <row r="24" spans="1:2" x14ac:dyDescent="0.25">
      <c r="A24" t="s">
        <v>25</v>
      </c>
      <c r="B24" s="10">
        <f>B22/(B22+B23)</f>
        <v>0.8205483998199942</v>
      </c>
    </row>
    <row r="25" spans="1:2" x14ac:dyDescent="0.25">
      <c r="A25" t="s">
        <v>26</v>
      </c>
      <c r="B25" s="10">
        <f>1-B24</f>
        <v>0.17945160018000583</v>
      </c>
    </row>
    <row r="26" spans="1:2" x14ac:dyDescent="0.25">
      <c r="A26" t="s">
        <v>27</v>
      </c>
      <c r="B26" s="12">
        <f>B24*B20+B25*B21*(1-B8)</f>
        <v>0.10214562318653511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9378431000</v>
      </c>
      <c r="C29" s="8" t="s">
        <v>30</v>
      </c>
    </row>
    <row r="30" spans="1:2" x14ac:dyDescent="0.25">
      <c r="A30" t="s">
        <v>31</v>
      </c>
      <c r="B30" s="11">
        <v>1925523000</v>
      </c>
    </row>
    <row r="31" spans="1:2" x14ac:dyDescent="0.25">
      <c r="A31" t="s">
        <v>32</v>
      </c>
      <c r="B31" s="13">
        <v>622147000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0.019920489734036373</v>
      </c>
      <c r="C5" s="10">
        <f>Assumptions!B6</f>
        <v>0.019920489734036373</v>
      </c>
      <c r="D5" s="10">
        <f>Assumptions!B6</f>
        <v>0.019920489734036373</v>
      </c>
      <c r="E5" s="10">
        <f>Assumptions!B6</f>
        <v>0.019920489734036373</v>
      </c>
      <c r="F5" s="10">
        <f>Assumptions!B6</f>
        <v>0.019920489734036373</v>
      </c>
    </row>
    <row r="6" spans="1:6" x14ac:dyDescent="0.25">
      <c r="A6" t="s">
        <v>43</v>
      </c>
      <c r="B6" s="18">
        <f>Assumptions!B29*(1+B5)</f>
        <v>9565253938.45687</v>
      </c>
      <c r="C6" s="18">
        <f>B6*(1+C5)</f>
        <v>9755798481.34135</v>
      </c>
      <c r="D6" s="18">
        <f>C6*(1+D5)</f>
        <v>9950138764.836239</v>
      </c>
      <c r="E6" s="18">
        <f>D6*(1+E5)</f>
        <v>10148350401.953396</v>
      </c>
      <c r="F6" s="18">
        <f>E6*(1+F5)</f>
        <v>10350510511.952913</v>
      </c>
    </row>
    <row r="7" spans="1:6" x14ac:dyDescent="0.25">
      <c r="A7" t="s">
        <v>5</v>
      </c>
      <c r="B7" s="10">
        <f>Assumptions!B7</f>
        <v>0.02970850042559777</v>
      </c>
      <c r="C7" s="10">
        <f>Assumptions!B7</f>
        <v>0.02970850042559777</v>
      </c>
      <c r="D7" s="10">
        <f>Assumptions!B7</f>
        <v>0.02970850042559777</v>
      </c>
      <c r="E7" s="10">
        <f>Assumptions!B7</f>
        <v>0.02970850042559777</v>
      </c>
      <c r="F7" s="10">
        <f>Assumptions!B7</f>
        <v>0.02970850042559777</v>
      </c>
    </row>
    <row r="8" spans="1:6" x14ac:dyDescent="0.25">
      <c r="A8" t="s">
        <v>44</v>
      </c>
      <c r="B8" s="18">
        <f>B6*B7</f>
        <v>284169350.7015967</v>
      </c>
      <c r="C8" s="18">
        <f>C6*C7</f>
        <v>289830143.3349756</v>
      </c>
      <c r="D8" s="18">
        <f>D6*D7</f>
        <v>295603701.7298943</v>
      </c>
      <c r="E8" s="18">
        <f>E6*E7</f>
        <v>301492272.2355478</v>
      </c>
      <c r="F8" s="18">
        <f>F6*F7</f>
        <v>307498145.94950736</v>
      </c>
    </row>
    <row r="9" spans="1:6" x14ac:dyDescent="0.25">
      <c r="A9" t="s">
        <v>45</v>
      </c>
      <c r="B9" s="18">
        <f>B8*(1-Assumptions!B8)</f>
        <v>200955404.94638085</v>
      </c>
      <c r="C9" s="18">
        <f>C8*(1-Assumptions!B8)</f>
        <v>204958535.02761433</v>
      </c>
      <c r="D9" s="18">
        <f>D8*(1-Assumptions!B8)</f>
        <v>209041409.42053506</v>
      </c>
      <c r="E9" s="18">
        <f>E8*(1-Assumptions!B8)</f>
        <v>213205616.67088532</v>
      </c>
      <c r="F9" s="18">
        <f>F8*(1-Assumptions!B8)</f>
        <v>217452776.9690166</v>
      </c>
    </row>
    <row r="10" spans="1:6" x14ac:dyDescent="0.25">
      <c r="A10" t="s">
        <v>46</v>
      </c>
      <c r="B10" s="18">
        <f>B6*Assumptions!B9</f>
        <v>351367837.1657707</v>
      </c>
      <c r="C10" s="18">
        <f>C6*Assumptions!B9</f>
        <v>358367256.558902</v>
      </c>
      <c r="D10" s="18">
        <f>D6*Assumptions!B9</f>
        <v>365506107.81419843</v>
      </c>
      <c r="E10" s="18">
        <f>E6*Assumptions!B9</f>
        <v>372787168.4826388</v>
      </c>
      <c r="F10" s="18">
        <f>F6*Assumptions!B9</f>
        <v>380213271.44537765</v>
      </c>
    </row>
    <row r="11" spans="1:6" x14ac:dyDescent="0.25">
      <c r="A11" t="s">
        <v>47</v>
      </c>
      <c r="B11" s="18">
        <f>-B6*Assumptions!B10</f>
        <v>-229045483.0281674</v>
      </c>
      <c r="C11" s="18">
        <f>-C6*Assumptions!B10</f>
        <v>-233608181.22145742</v>
      </c>
      <c r="D11" s="18">
        <f>-D6*Assumptions!B10</f>
        <v>-238261770.59726638</v>
      </c>
      <c r="E11" s="18">
        <f>-E6*Assumptions!B10</f>
        <v>-243008061.75246254</v>
      </c>
      <c r="F11" s="18">
        <f>-F6*Assumptions!B10</f>
        <v>-247848901.35189056</v>
      </c>
    </row>
    <row r="12" spans="1:6" x14ac:dyDescent="0.25">
      <c r="A12" t="s">
        <v>48</v>
      </c>
      <c r="B12" s="18">
        <f>-(B6-Assumptions!B29)*Assumptions!B11</f>
        <v>-186822938.45686913</v>
      </c>
      <c r="C12" s="18">
        <f>-(C6-B6)*Assumptions!B11</f>
        <v>-190544542.88448143</v>
      </c>
      <c r="D12" s="18">
        <f>-(D6-C6)*Assumptions!B11</f>
        <v>-194340283.4948883</v>
      </c>
      <c r="E12" s="18">
        <f>-(E6-D6)*Assumptions!B11</f>
        <v>-198211637.11715698</v>
      </c>
      <c r="F12" s="18">
        <f>-(F6-E6)*Assumptions!B11</f>
        <v>-202160109.99951744</v>
      </c>
    </row>
    <row r="13" spans="1:6" x14ac:dyDescent="0.25">
      <c r="A13" s="19" t="s">
        <v>49</v>
      </c>
      <c r="B13" s="20">
        <f>B9+B10+B11+B12</f>
        <v>136454820.62711513</v>
      </c>
      <c r="C13" s="20">
        <f>C9+C10+C11+C12</f>
        <v>139173067.48057753</v>
      </c>
      <c r="D13" s="20">
        <f>D9+D10+D11+D12</f>
        <v>141945463.14257878</v>
      </c>
      <c r="E13" s="20">
        <f>E9+E10+E11+E12</f>
        <v>144773086.28390467</v>
      </c>
      <c r="F13" s="20">
        <f>F9+F10+F11+F12</f>
        <v>147657037.06298625</v>
      </c>
    </row>
    <row r="14" spans="1:6" x14ac:dyDescent="0.25">
      <c r="A14" t="s">
        <v>50</v>
      </c>
      <c r="B14" s="21">
        <f>1/(1+Assumptions!$B$26)^(1-0.5*Assumptions!$B$32)</f>
        <v>0.952534051297664</v>
      </c>
      <c r="C14" s="21">
        <f>1/(1+Assumptions!$B$26)^(2-0.5*Assumptions!$B$32)</f>
        <v>0.8642542611961632</v>
      </c>
      <c r="D14" s="21">
        <f>1/(1+Assumptions!$B$26)^(3-0.5*Assumptions!$B$32)</f>
        <v>0.7841561432666421</v>
      </c>
      <c r="E14" s="21">
        <f>1/(1+Assumptions!$B$26)^(4-0.5*Assumptions!$B$32)</f>
        <v>0.7114814292865234</v>
      </c>
      <c r="F14" s="21">
        <f>1/(1+Assumptions!$B$26)^(5-0.5*Assumptions!$B$32)</f>
        <v>0.6455421264836863</v>
      </c>
    </row>
    <row r="15" spans="1:6" x14ac:dyDescent="0.25">
      <c r="A15" s="19" t="s">
        <v>51</v>
      </c>
      <c r="B15" s="20">
        <f>B13*B14</f>
        <v>129977863.11104202</v>
      </c>
      <c r="C15" s="20">
        <f>C13*C14</f>
        <v>120280916.6138303</v>
      </c>
      <c r="D15" s="20">
        <f>D13*D14</f>
        <v>111307406.93208186</v>
      </c>
      <c r="E15" s="20">
        <f>E13*E14</f>
        <v>103003362.35149367</v>
      </c>
      <c r="F15" s="20">
        <f>F13*F14</f>
        <v>95318837.69592062</v>
      </c>
    </row>
    <row r="17" spans="1:2" x14ac:dyDescent="0.25">
      <c r="A17" s="22" t="s">
        <v>52</v>
      </c>
      <c r="B17" s="23">
        <f>SUM(B15:F15)</f>
        <v>559888386.7043685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147657037.06298625</v>
      </c>
    </row>
    <row r="5" spans="1:2" x14ac:dyDescent="0.25">
      <c r="A5" t="s">
        <v>56</v>
      </c>
      <c r="B5" s="18">
        <f>IF(Assumptions!$B$33=0,B4,B4-Forecast!F11-Forecast!F10-Forecast!F12)</f>
        <v>217452776.9690166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0.24474861692650102</v>
      </c>
    </row>
    <row r="7" spans="1:2" x14ac:dyDescent="0.25">
      <c r="A7" t="s">
        <v>58</v>
      </c>
      <c r="B7" s="18">
        <f>-MAX(Forecast!F9,0)*B6</f>
        <v>-53221266.40999371</v>
      </c>
    </row>
    <row r="8" spans="1:2" x14ac:dyDescent="0.25">
      <c r="A8" t="s">
        <v>59</v>
      </c>
      <c r="B8" s="18">
        <f>IF(OR(Assumptions!$B$33=0,Assumptions!B12&lt;=0),B5,MAX(B5+B7,0))</f>
        <v>164231510.5590229</v>
      </c>
    </row>
    <row r="9" spans="1:2" x14ac:dyDescent="0.25">
      <c r="A9" t="s">
        <v>60</v>
      </c>
      <c r="B9" s="18">
        <f>B8*(1+Assumptions!B12)/(Assumptions!B26-Assumptions!B12)</f>
        <v>2182071922.8097415</v>
      </c>
    </row>
    <row r="10" spans="1:2" x14ac:dyDescent="0.25">
      <c r="A10" t="s">
        <v>61</v>
      </c>
      <c r="B10" s="18">
        <f>B9/(1+Assumptions!B26)^(5-0.5*Assumptions!B32)</f>
        <v>1408619349.1909466</v>
      </c>
    </row>
    <row r="11" spans="1:2" x14ac:dyDescent="0.25">
      <c r="A11" t="s">
        <v>62</v>
      </c>
      <c r="B11" s="18">
        <f>Forecast!B17+B10</f>
        <v>1968507735.8953152</v>
      </c>
    </row>
    <row r="12" spans="1:2" x14ac:dyDescent="0.25">
      <c r="A12" t="s">
        <v>63</v>
      </c>
      <c r="B12" s="18">
        <f>-Assumptions!B30</f>
        <v>-1925523000</v>
      </c>
    </row>
    <row r="13" spans="1:2" x14ac:dyDescent="0.25">
      <c r="A13" t="s">
        <v>64</v>
      </c>
      <c r="B13" s="18">
        <f>B11+B12</f>
        <v>42984735.89531517</v>
      </c>
    </row>
    <row r="14" spans="1:2" x14ac:dyDescent="0.25">
      <c r="A14" s="19" t="s">
        <v>65</v>
      </c>
      <c r="B14" s="24">
        <f>B13/Assumptions!B31</f>
        <v>0.06909096386435226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687711417.3948851</v>
      </c>
    </row>
    <row r="18" spans="1:2" x14ac:dyDescent="0.25">
      <c r="A18" t="s">
        <v>60</v>
      </c>
      <c r="B18" s="18">
        <f>B17*Assumptions!B13</f>
        <v>13754228347.897701</v>
      </c>
    </row>
    <row r="19" spans="1:2" x14ac:dyDescent="0.25">
      <c r="A19" t="s">
        <v>61</v>
      </c>
      <c r="B19" s="18">
        <f>B18/(1+Assumptions!B26)^(5-0.5*Assumptions!B32)</f>
        <v>8878933815.84408</v>
      </c>
    </row>
    <row r="20" spans="1:2" x14ac:dyDescent="0.25">
      <c r="A20" t="s">
        <v>62</v>
      </c>
      <c r="B20" s="18">
        <f>Forecast!B17+B19</f>
        <v>9438822202.548449</v>
      </c>
    </row>
    <row r="21" spans="1:2" x14ac:dyDescent="0.25">
      <c r="A21" t="s">
        <v>63</v>
      </c>
      <c r="B21" s="18">
        <f>-Assumptions!B30</f>
        <v>-1925523000</v>
      </c>
    </row>
    <row r="22" spans="1:2" x14ac:dyDescent="0.25">
      <c r="A22" t="s">
        <v>64</v>
      </c>
      <c r="B22" s="18">
        <f>B20+B21</f>
        <v>7513299202.548449</v>
      </c>
    </row>
    <row r="23" spans="1:2" x14ac:dyDescent="0.25">
      <c r="A23" s="19" t="s">
        <v>65</v>
      </c>
      <c r="B23" s="25">
        <f>B22/Assumptions!B31</f>
        <v>12.076405098069184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0.06909096386435226</v>
      </c>
    </row>
    <row r="29" spans="1:2" x14ac:dyDescent="0.25">
      <c r="A29" s="19" t="s">
        <v>73</v>
      </c>
      <c r="B29" s="12">
        <f>B28/B26-1</f>
        <v>-0.9958751663364566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0.082146</v>
      </c>
      <c r="B5" s="31">
        <v>0.8721392097920292</v>
      </c>
      <c r="C5" s="31">
        <v>0.8870523522757948</v>
      </c>
      <c r="D5" s="31">
        <v>0.9019654947595611</v>
      </c>
      <c r="E5" s="31">
        <v>0.9168786372433266</v>
      </c>
      <c r="F5" s="31">
        <v>0.9317917797270914</v>
      </c>
    </row>
    <row r="6" spans="1:6" x14ac:dyDescent="0.25">
      <c r="A6" s="30">
        <v>0.092146</v>
      </c>
      <c r="B6" s="31">
        <v>0.41387983401303735</v>
      </c>
      <c r="C6" s="31">
        <v>0.4266354758403645</v>
      </c>
      <c r="D6" s="31">
        <v>0.4393911176676902</v>
      </c>
      <c r="E6" s="31">
        <v>0.4521467594950173</v>
      </c>
      <c r="F6" s="31">
        <v>0.46490240132234295</v>
      </c>
    </row>
    <row r="7" spans="1:6" x14ac:dyDescent="0.25">
      <c r="A7" s="30">
        <v>0.102146</v>
      </c>
      <c r="B7" s="31">
        <v>0.04698948556477596</v>
      </c>
      <c r="C7" s="31">
        <v>0.058033946084394314</v>
      </c>
      <c r="D7" s="32">
        <v>0.0690784066040123</v>
      </c>
      <c r="E7" s="31">
        <v>0.08012286712363065</v>
      </c>
      <c r="F7" s="31">
        <v>0.09116732764324824</v>
      </c>
    </row>
    <row r="8" spans="1:6" x14ac:dyDescent="0.25">
      <c r="A8" s="30">
        <v>0.112146</v>
      </c>
      <c r="B8" s="31">
        <v>-0.2530606517815849</v>
      </c>
      <c r="C8" s="31">
        <v>-0.2434016989659373</v>
      </c>
      <c r="D8" s="31">
        <v>-0.2337427461502905</v>
      </c>
      <c r="E8" s="31">
        <v>-0.22408379333464332</v>
      </c>
      <c r="F8" s="31">
        <v>-0.21442484051899574</v>
      </c>
    </row>
    <row r="9" spans="1:6" x14ac:dyDescent="0.25">
      <c r="A9" s="30">
        <v>0.122146</v>
      </c>
      <c r="B9" s="31">
        <v>-0.5027615437754277</v>
      </c>
      <c r="C9" s="31">
        <v>-0.494243486497089</v>
      </c>
      <c r="D9" s="31">
        <v>-0.48572542921875106</v>
      </c>
      <c r="E9" s="31">
        <v>-0.47720737194041307</v>
      </c>
      <c r="F9" s="31">
        <v>-0.46868931466207436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9378431000</v>
      </c>
      <c r="C5" s="18">
        <v>8978382000</v>
      </c>
      <c r="D5" s="18">
        <v>9104772000</v>
      </c>
      <c r="E5" s="18">
        <v>8839572000</v>
      </c>
      <c r="F5" s="8" t="s">
        <v>84</v>
      </c>
    </row>
    <row r="6" spans="1:6" x14ac:dyDescent="0.25">
      <c r="A6" t="s">
        <v>44</v>
      </c>
      <c r="B6" s="18">
        <v>160545000</v>
      </c>
      <c r="C6" s="18">
        <v>192893000</v>
      </c>
      <c r="D6" s="18">
        <v>347938000</v>
      </c>
      <c r="E6" s="18">
        <v>371407000</v>
      </c>
      <c r="F6" s="8" t="s">
        <v>85</v>
      </c>
    </row>
    <row r="7" spans="1:6" x14ac:dyDescent="0.25">
      <c r="A7" t="s">
        <v>86</v>
      </c>
      <c r="B7" s="18">
        <v>367236000</v>
      </c>
      <c r="C7" s="18">
        <v>352318000</v>
      </c>
      <c r="D7" s="18">
        <v>325410000</v>
      </c>
      <c r="E7" s="18">
        <v>289905000</v>
      </c>
      <c r="F7" s="8" t="s">
        <v>87</v>
      </c>
    </row>
    <row r="8" spans="1:6" x14ac:dyDescent="0.25">
      <c r="A8" t="s">
        <v>88</v>
      </c>
      <c r="B8" s="18">
        <v>174367000</v>
      </c>
      <c r="C8" s="18">
        <v>258382000</v>
      </c>
      <c r="D8" s="18">
        <v>257975000</v>
      </c>
      <c r="E8" s="18">
        <v>177478000</v>
      </c>
      <c r="F8" s="8" t="s">
        <v>89</v>
      </c>
    </row>
    <row r="9" spans="1:6" x14ac:dyDescent="0.25">
      <c r="A9" t="s">
        <v>90</v>
      </c>
      <c r="B9" s="18">
        <v>49303000</v>
      </c>
      <c r="C9" s="18">
        <v>-1091260000</v>
      </c>
      <c r="D9" s="18">
        <v>1064231000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2253191000</v>
      </c>
      <c r="C10" s="18">
        <v>1971217000</v>
      </c>
      <c r="D10" s="18">
        <v>1832263000</v>
      </c>
      <c r="E10" s="18">
        <v>1961767000</v>
      </c>
      <c r="F10" s="8" t="s">
        <v>93</v>
      </c>
    </row>
    <row r="11" spans="1:6" x14ac:dyDescent="0.25">
      <c r="A11" t="s">
        <v>94</v>
      </c>
      <c r="B11" s="18">
        <v>327668000</v>
      </c>
      <c r="C11" s="18">
        <v>275411000</v>
      </c>
      <c r="D11" s="18">
        <v>682396000</v>
      </c>
      <c r="E11" s="18">
        <v>372706000</v>
      </c>
      <c r="F11" s="8" t="s">
        <v>95</v>
      </c>
    </row>
    <row r="12" spans="1:6" x14ac:dyDescent="0.25">
      <c r="A12" t="s">
        <v>32</v>
      </c>
      <c r="B12" s="34">
        <v>622147000</v>
      </c>
      <c r="C12" s="34">
        <v>644176000</v>
      </c>
      <c r="D12" s="34">
        <v>644878462</v>
      </c>
      <c r="E12" s="34">
        <v>645721000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