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<sst xmlns="http://schemas.openxmlformats.org/spreadsheetml/2006/main" count="112" uniqueCount="100">
  <si>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RELX PLC (REL.L)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</si>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</sst>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0.038883172385113296</v>
      </c>
    </row>
    <row r="7" spans="1:2" x14ac:dyDescent="0.25">
      <c r="A7" t="s">
        <v>5</v>
      </c>
      <c r="B7" s="6">
        <v>0.29172016592737143</v>
      </c>
    </row>
    <row r="8" spans="1:2" x14ac:dyDescent="0.25">
      <c r="A8" t="s">
        <v>6</v>
      </c>
      <c r="B8" s="6">
        <v>0.23368624606487465</v>
      </c>
    </row>
    <row r="9" spans="1:2" x14ac:dyDescent="0.25">
      <c r="A9" t="s">
        <v>7</v>
      </c>
      <c r="B9" s="6">
        <v>0.0763998358515161</v>
      </c>
    </row>
    <row r="10" spans="1:2" x14ac:dyDescent="0.25">
      <c r="A10" t="s">
        <v>8</v>
      </c>
      <c r="B10" s="6">
        <v>0.052273284359558594</v>
      </c>
    </row>
    <row r="11" spans="1:2" x14ac:dyDescent="0.25">
      <c r="A11" t="s">
        <v>9</v>
      </c>
      <c r="B11" s="6">
        <v>0.40384615384615385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13.878397823368074</v>
      </c>
    </row>
    <row r="14" spans="1:3" x14ac:dyDescent="0.25">
      <c r="A14" t="s">
        <v>12</v>
      </c>
      <c r="B14" s="6">
        <v>0.21171581399361963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0.50755</v>
      </c>
      <c r="C19" s="8" t="s">
        <v>19</v>
      </c>
    </row>
    <row r="20" spans="1:2" x14ac:dyDescent="0.25">
      <c r="A20" t="s">
        <v>20</v>
      </c>
      <c r="B20" s="10">
        <f>B17+B19*B18</f>
        <v>0.07291524999999999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43464638464</v>
      </c>
    </row>
    <row r="23" spans="1:2" x14ac:dyDescent="0.25">
      <c r="A23" t="s">
        <v>24</v>
      </c>
      <c r="B23" s="11">
        <v>7267000000</v>
      </c>
    </row>
    <row r="24" spans="1:2" x14ac:dyDescent="0.25">
      <c r="A24" t="s">
        <v>25</v>
      </c>
      <c r="B24" s="10">
        <f>B22/(B22+B23)</f>
        <v>0.8567560555893187</v>
      </c>
    </row>
    <row r="25" spans="1:2" x14ac:dyDescent="0.25">
      <c r="A25" t="s">
        <v>26</v>
      </c>
      <c r="B25" s="10">
        <f>1-B24</f>
        <v>0.14324394441068133</v>
      </c>
    </row>
    <row r="26" spans="1:2" x14ac:dyDescent="0.25">
      <c r="A26" t="s">
        <v>27</v>
      </c>
      <c r="B26" s="12">
        <f>B24*B20+B25*B21*(1-B8)</f>
        <v>0.06741022319695113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9590000000</v>
      </c>
      <c r="C29" s="8" t="s">
        <v>30</v>
      </c>
    </row>
    <row r="30" spans="1:2" x14ac:dyDescent="0.25">
      <c r="A30" t="s">
        <v>31</v>
      </c>
      <c r="B30" s="11">
        <v>7136000000</v>
      </c>
    </row>
    <row r="31" spans="1:2" x14ac:dyDescent="0.25">
      <c r="A31" t="s">
        <v>32</v>
      </c>
      <c r="B31" s="13">
        <v>1843500000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0.038883172385113296</v>
      </c>
      <c r="C5" s="10">
        <f>Assumptions!B6</f>
        <v>0.038883172385113296</v>
      </c>
      <c r="D5" s="10">
        <f>Assumptions!B6</f>
        <v>0.038883172385113296</v>
      </c>
      <c r="E5" s="10">
        <f>Assumptions!B6</f>
        <v>0.038883172385113296</v>
      </c>
      <c r="F5" s="10">
        <f>Assumptions!B6</f>
        <v>0.038883172385113296</v>
      </c>
    </row>
    <row r="6" spans="1:6" x14ac:dyDescent="0.25">
      <c r="A6" t="s">
        <v>43</v>
      </c>
      <c r="B6" s="18">
        <f>Assumptions!B29*(1+B5)</f>
        <v>9962889623.173237</v>
      </c>
      <c r="C6" s="18">
        <f>B6*(1+C5)</f>
        <v>10350278377.844938</v>
      </c>
      <c r="D6" s="18">
        <f>C6*(1+D5)</f>
        <v>10752730036.244595</v>
      </c>
      <c r="E6" s="18">
        <f>D6*(1+E5)</f>
        <v>11170830291.854479</v>
      </c>
      <c r="F6" s="18">
        <f>E6*(1+F5)</f>
        <v>11605187611.777502</v>
      </c>
    </row>
    <row r="7" spans="1:6" x14ac:dyDescent="0.25">
      <c r="A7" t="s">
        <v>5</v>
      </c>
      <c r="B7" s="10">
        <f>Assumptions!B7</f>
        <v>0.29172016592737143</v>
      </c>
      <c r="C7" s="10">
        <f>Assumptions!B7</f>
        <v>0.29172016592737143</v>
      </c>
      <c r="D7" s="10">
        <f>Assumptions!B7</f>
        <v>0.29172016592737143</v>
      </c>
      <c r="E7" s="10">
        <f>Assumptions!B7</f>
        <v>0.29172016592737143</v>
      </c>
      <c r="F7" s="10">
        <f>Assumptions!B7</f>
        <v>0.29172016592737143</v>
      </c>
    </row>
    <row r="8" spans="1:6" x14ac:dyDescent="0.25">
      <c r="A8" t="s">
        <v>44</v>
      </c>
      <c r="B8" s="18">
        <f>B6*B7</f>
        <v>2906375813.9881835</v>
      </c>
      <c r="C8" s="18">
        <f>C6*C7</f>
        <v>3019384925.7794104</v>
      </c>
      <c r="D8" s="18">
        <f>D6*D7</f>
        <v>3136788190.345504</v>
      </c>
      <c r="E8" s="18">
        <f>E6*E7</f>
        <v>3258756466.2862954</v>
      </c>
      <c r="F8" s="18">
        <f>F6*F7</f>
        <v>3385467255.7260084</v>
      </c>
    </row>
    <row r="9" spans="1:6" x14ac:dyDescent="0.25">
      <c r="A9" t="s">
        <v>45</v>
      </c>
      <c r="B9" s="18">
        <f>B8*(1-Assumptions!B8)</f>
        <v>2227195760.3635406</v>
      </c>
      <c r="C9" s="18">
        <f>C8*(1-Assumptions!B8)</f>
        <v>2313796197.04915</v>
      </c>
      <c r="D9" s="18">
        <f>D8*(1-Assumptions!B8)</f>
        <v>2403763933.443032</v>
      </c>
      <c r="E9" s="18">
        <f>E8*(1-Assumptions!B8)</f>
        <v>2497229900.8402147</v>
      </c>
      <c r="F9" s="18">
        <f>F8*(1-Assumptions!B8)</f>
        <v>2594330121.5598445</v>
      </c>
    </row>
    <row r="10" spans="1:6" x14ac:dyDescent="0.25">
      <c r="A10" t="s">
        <v>46</v>
      </c>
      <c r="B10" s="18">
        <f>B6*Assumptions!B9</f>
        <v>761163131.8172084</v>
      </c>
      <c r="C10" s="18">
        <f>C6*Assumptions!B9</f>
        <v>790759569.0848497</v>
      </c>
      <c r="D10" s="18">
        <f>D6*Assumptions!B9</f>
        <v>821506809.7247539</v>
      </c>
      <c r="E10" s="18">
        <f>E6*Assumptions!B9</f>
        <v>853449600.622826</v>
      </c>
      <c r="F10" s="18">
        <f>F6*Assumptions!B9</f>
        <v>886634428.5658494</v>
      </c>
    </row>
    <row r="11" spans="1:6" x14ac:dyDescent="0.25">
      <c r="A11" t="s">
        <v>47</v>
      </c>
      <c r="B11" s="18">
        <f>-B6*Assumptions!B10</f>
        <v>-520792962.31503016</v>
      </c>
      <c r="C11" s="18">
        <f>-C6*Assumptions!B10</f>
        <v>-541043044.8456793</v>
      </c>
      <c r="D11" s="18">
        <f>-D6*Assumptions!B10</f>
        <v>-562080514.8261805</v>
      </c>
      <c r="E11" s="18">
        <f>-E6*Assumptions!B10</f>
        <v>-583935988.3784801</v>
      </c>
      <c r="F11" s="18">
        <f>-F6*Assumptions!B10</f>
        <v>-606641272.076472</v>
      </c>
    </row>
    <row r="12" spans="1:6" x14ac:dyDescent="0.25">
      <c r="A12" t="s">
        <v>48</v>
      </c>
      <c r="B12" s="18">
        <f>-(B6-Assumptions!B29)*Assumptions!B11</f>
        <v>-150590040.12765333</v>
      </c>
      <c r="C12" s="18">
        <f>-(C6-B6)*Assumptions!B11</f>
        <v>-156445458.6174179</v>
      </c>
      <c r="D12" s="18">
        <f>-(D6-C6)*Assumptions!B11</f>
        <v>-162528554.35370734</v>
      </c>
      <c r="E12" s="18">
        <f>-(E6-D6)*Assumptions!B11</f>
        <v>-168848180.15014556</v>
      </c>
      <c r="F12" s="18">
        <f>-(F6-E6)*Assumptions!B11</f>
        <v>-175413533.0458363</v>
      </c>
    </row>
    <row r="13" spans="1:6" x14ac:dyDescent="0.25">
      <c r="A13" s="19" t="s">
        <v>49</v>
      </c>
      <c r="B13" s="20">
        <f>B9+B10+B11+B12</f>
        <v>2316975889.7380657</v>
      </c>
      <c r="C13" s="20">
        <f>C9+C10+C11+C12</f>
        <v>2407067262.6709027</v>
      </c>
      <c r="D13" s="20">
        <f>D9+D10+D11+D12</f>
        <v>2500661673.987898</v>
      </c>
      <c r="E13" s="20">
        <f>E9+E10+E11+E12</f>
        <v>2597895332.9344153</v>
      </c>
      <c r="F13" s="20">
        <f>F9+F10+F11+F12</f>
        <v>2698909745.0033855</v>
      </c>
    </row>
    <row r="14" spans="1:6" x14ac:dyDescent="0.25">
      <c r="A14" t="s">
        <v>50</v>
      </c>
      <c r="B14" s="21">
        <f>1/(1+Assumptions!$B$26)^(1-0.5*Assumptions!$B$32)</f>
        <v>0.9679085384255114</v>
      </c>
      <c r="C14" s="21">
        <f>1/(1+Assumptions!$B$26)^(2-0.5*Assumptions!$B$32)</f>
        <v>0.9067821512207117</v>
      </c>
      <c r="D14" s="21">
        <f>1/(1+Assumptions!$B$26)^(3-0.5*Assumptions!$B$32)</f>
        <v>0.8495160824906195</v>
      </c>
      <c r="E14" s="21">
        <f>1/(1+Assumptions!$B$26)^(4-0.5*Assumptions!$B$32)</f>
        <v>0.7958665413061842</v>
      </c>
      <c r="F14" s="21">
        <f>1/(1+Assumptions!$B$26)^(5-0.5*Assumptions!$B$32)</f>
        <v>0.7456051328818277</v>
      </c>
    </row>
    <row r="15" spans="1:6" x14ac:dyDescent="0.25">
      <c r="A15" s="19" t="s">
        <v>51</v>
      </c>
      <c r="B15" s="20">
        <f>B13*B14</f>
        <v>2242620747.00352</v>
      </c>
      <c r="C15" s="20">
        <f>C13*C14</f>
        <v>2182685630.577671</v>
      </c>
      <c r="D15" s="20">
        <f>D13*D14</f>
        <v>2124352308.9206338</v>
      </c>
      <c r="E15" s="20">
        <f>E13*E14</f>
        <v>2067577973.297991</v>
      </c>
      <c r="F15" s="20">
        <f>F13*F14</f>
        <v>2012320959.059309</v>
      </c>
    </row>
    <row r="17" spans="1:2" x14ac:dyDescent="0.25">
      <c r="A17" s="22" t="s">
        <v>52</v>
      </c>
      <c r="B17" s="23">
        <f>SUM(B15:F15)</f>
        <v>10629557618.859125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2698909745.0033855</v>
      </c>
    </row>
    <row r="5" spans="1:2" x14ac:dyDescent="0.25">
      <c r="A5" t="s">
        <v>56</v>
      </c>
      <c r="B5" s="18">
        <f>IF(Assumptions!$B$33=0,B4,B4-Forecast!F11-Forecast!F10-Forecast!F12)</f>
        <v>3184563779.0496116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0.11808281832340314</v>
      </c>
    </row>
    <row r="7" spans="1:2" x14ac:dyDescent="0.25">
      <c r="A7" t="s">
        <v>58</v>
      </c>
      <c r="B7" s="18">
        <f>-MAX(Forecast!F9,0)*B6</f>
        <v>-376042266.1608054</v>
      </c>
    </row>
    <row r="8" spans="1:2" x14ac:dyDescent="0.25">
      <c r="A8" t="s">
        <v>59</v>
      </c>
      <c r="B8" s="18">
        <f>IF(OR(Assumptions!$B$33=0,Assumptions!B12&lt;=0),B5,MAX(B5+B7,0))</f>
        <v>2808521512.8888063</v>
      </c>
    </row>
    <row r="9" spans="1:2" x14ac:dyDescent="0.25">
      <c r="A9" t="s">
        <v>60</v>
      </c>
      <c r="B9" s="18">
        <f>B8*(1+Assumptions!B12)/(Assumptions!B26-Assumptions!B12)</f>
        <v>67878316446.06809</v>
      </c>
    </row>
    <row r="10" spans="1:2" x14ac:dyDescent="0.25">
      <c r="A10" t="s">
        <v>61</v>
      </c>
      <c r="B10" s="18">
        <f>B9/(1+Assumptions!B26)^(5-0.5*Assumptions!B32)</f>
        <v>50610421153.56535</v>
      </c>
    </row>
    <row r="11" spans="1:2" x14ac:dyDescent="0.25">
      <c r="A11" t="s">
        <v>62</v>
      </c>
      <c r="B11" s="18">
        <f>Forecast!B17+B10</f>
        <v>61239978772.42448</v>
      </c>
    </row>
    <row r="12" spans="1:2" x14ac:dyDescent="0.25">
      <c r="A12" t="s">
        <v>63</v>
      </c>
      <c r="B12" s="18">
        <f>-Assumptions!B30</f>
        <v>-7136000000</v>
      </c>
    </row>
    <row r="13" spans="1:2" x14ac:dyDescent="0.25">
      <c r="A13" t="s">
        <v>64</v>
      </c>
      <c r="B13" s="18">
        <f>B11+B12</f>
        <v>54103978772.42448</v>
      </c>
    </row>
    <row r="14" spans="1:2" x14ac:dyDescent="0.25">
      <c r="A14" s="19" t="s">
        <v>65</v>
      </c>
      <c r="B14" s="24">
        <f>B13/Assumptions!B31</f>
        <v>29.348510318646312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4272101684.2918577</v>
      </c>
    </row>
    <row r="18" spans="1:2" x14ac:dyDescent="0.25">
      <c r="A18" t="s">
        <v>60</v>
      </c>
      <c r="B18" s="18">
        <f>B17*Assumptions!B13</f>
        <v>59289926716.4832</v>
      </c>
    </row>
    <row r="19" spans="1:2" x14ac:dyDescent="0.25">
      <c r="A19" t="s">
        <v>61</v>
      </c>
      <c r="B19" s="18">
        <f>B18/(1+Assumptions!B26)^(5-0.5*Assumptions!B32)</f>
        <v>44206873687.997284</v>
      </c>
    </row>
    <row r="20" spans="1:2" x14ac:dyDescent="0.25">
      <c r="A20" t="s">
        <v>62</v>
      </c>
      <c r="B20" s="18">
        <f>Forecast!B17+B19</f>
        <v>54836431306.85641</v>
      </c>
    </row>
    <row r="21" spans="1:2" x14ac:dyDescent="0.25">
      <c r="A21" t="s">
        <v>63</v>
      </c>
      <c r="B21" s="18">
        <f>-Assumptions!B30</f>
        <v>-7136000000</v>
      </c>
    </row>
    <row r="22" spans="1:2" x14ac:dyDescent="0.25">
      <c r="A22" t="s">
        <v>64</v>
      </c>
      <c r="B22" s="18">
        <f>B20+B21</f>
        <v>47700431306.85641</v>
      </c>
    </row>
    <row r="23" spans="1:2" x14ac:dyDescent="0.25">
      <c r="A23" s="19" t="s">
        <v>65</v>
      </c>
      <c r="B23" s="25">
        <f>B22/Assumptions!B31</f>
        <v>25.87492883474717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2499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2934.8510318646313</v>
      </c>
    </row>
    <row r="29" spans="1:2" x14ac:dyDescent="0.25">
      <c r="A29" s="19" t="s">
        <v>73</v>
      </c>
      <c r="B29" s="12">
        <f>B28/B26-1</f>
        <v>0.1744101768165791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0.04741</v>
      </c>
      <c r="B5" s="31">
        <v>42.97911450591335</v>
      </c>
      <c r="C5" s="31">
        <v>49.428464379361685</v>
      </c>
      <c r="D5" s="31">
        <v>58.74092414393656</v>
      </c>
      <c r="E5" s="31">
        <v>73.38327429170563</v>
      </c>
      <c r="F5" s="31">
        <v>99.79776750179167</v>
      </c>
    </row>
    <row r="6" spans="1:6" x14ac:dyDescent="0.25">
      <c r="A6" s="30">
        <v>0.05741</v>
      </c>
      <c r="B6" s="31">
        <v>31.910880520112972</v>
      </c>
      <c r="C6" s="31">
        <v>35.20622192836084</v>
      </c>
      <c r="D6" s="31">
        <v>39.508538703576136</v>
      </c>
      <c r="E6" s="31">
        <v>45.36889361498585</v>
      </c>
      <c r="F6" s="31">
        <v>53.830150207566156</v>
      </c>
    </row>
    <row r="7" spans="1:6" x14ac:dyDescent="0.25">
      <c r="A7" s="30">
        <v>0.06741</v>
      </c>
      <c r="B7" s="31">
        <v>25.071897080363133</v>
      </c>
      <c r="C7" s="31">
        <v>26.987976990669786</v>
      </c>
      <c r="D7" s="32">
        <v>29.348683583178406</v>
      </c>
      <c r="E7" s="31">
        <v>32.3322953992691</v>
      </c>
      <c r="F7" s="31">
        <v>36.227105507554356</v>
      </c>
    </row>
    <row r="8" spans="1:6" x14ac:dyDescent="0.25">
      <c r="A8" s="30">
        <v>0.07741</v>
      </c>
      <c r="B8" s="31">
        <v>20.42891649803548</v>
      </c>
      <c r="C8" s="31">
        <v>21.636078691217193</v>
      </c>
      <c r="D8" s="31">
        <v>23.06800601225274</v>
      </c>
      <c r="E8" s="31">
        <v>24.795811663373893</v>
      </c>
      <c r="F8" s="31">
        <v>26.924144900682602</v>
      </c>
    </row>
    <row r="9" spans="1:6" x14ac:dyDescent="0.25">
      <c r="A9" s="30">
        <v>0.08741</v>
      </c>
      <c r="B9" s="31">
        <v>17.07189323984981</v>
      </c>
      <c r="C9" s="31">
        <v>17.874719720227258</v>
      </c>
      <c r="D9" s="31">
        <v>18.801700359114623</v>
      </c>
      <c r="E9" s="31">
        <v>19.885273971659945</v>
      </c>
      <c r="F9" s="31">
        <v>21.17025823778823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9590000000</v>
      </c>
      <c r="C5" s="18">
        <v>9434000000</v>
      </c>
      <c r="D5" s="18">
        <v>9161000000</v>
      </c>
      <c r="E5" s="18">
        <v>8553000000</v>
      </c>
      <c r="F5" s="8" t="s">
        <v>84</v>
      </c>
    </row>
    <row r="6" spans="1:6" x14ac:dyDescent="0.25">
      <c r="A6" t="s">
        <v>44</v>
      </c>
      <c r="B6" s="18">
        <v>2983000000</v>
      </c>
      <c r="C6" s="18">
        <v>2818000000</v>
      </c>
      <c r="D6" s="18">
        <v>2636000000</v>
      </c>
      <c r="E6" s="18">
        <v>2304000000</v>
      </c>
      <c r="F6" s="8" t="s">
        <v>85</v>
      </c>
    </row>
    <row r="7" spans="1:6" x14ac:dyDescent="0.25">
      <c r="A7" t="s">
        <v>86</v>
      </c>
      <c r="B7" s="18">
        <v>663000000</v>
      </c>
      <c r="C7" s="18">
        <v>706000000</v>
      </c>
      <c r="D7" s="18">
        <v>717000000</v>
      </c>
      <c r="E7" s="18">
        <v>713000000</v>
      </c>
      <c r="F7" s="8" t="s">
        <v>87</v>
      </c>
    </row>
    <row r="8" spans="1:6" x14ac:dyDescent="0.25">
      <c r="A8" t="s">
        <v>88</v>
      </c>
      <c r="B8" s="18">
        <v>525000000</v>
      </c>
      <c r="C8" s="18">
        <v>484000000</v>
      </c>
      <c r="D8" s="18">
        <v>477000000</v>
      </c>
      <c r="E8" s="18">
        <v>436000000</v>
      </c>
      <c r="F8" s="8" t="s">
        <v>89</v>
      </c>
    </row>
    <row r="9" spans="1:6" x14ac:dyDescent="0.25">
      <c r="A9" t="s">
        <v>90</v>
      </c>
      <c r="B9" s="18">
        <v>63000000</v>
      </c>
      <c r="C9" s="18">
        <v>146000000</v>
      </c>
      <c r="D9" s="18">
        <v>115000000</v>
      </c>
      <c r="E9" s="18">
        <v>74000000</v>
      </c>
      <c r="F9" s="8" t="s">
        <v>91</v>
      </c>
    </row>
    <row r="10" spans="1:6" x14ac:dyDescent="0.25">
      <c r="A10" t="s">
        <v>92</v>
      </c>
      <c r="B10" s="18">
        <v>7267000000</v>
      </c>
      <c r="C10" s="18">
        <v>6544000000</v>
      </c>
      <c r="D10" s="18">
        <v>6497000000</v>
      </c>
      <c r="E10" s="18">
        <v>6730000000</v>
      </c>
      <c r="F10" s="8" t="s">
        <v>93</v>
      </c>
    </row>
    <row r="11" spans="1:6" x14ac:dyDescent="0.25">
      <c r="A11" t="s">
        <v>94</v>
      </c>
      <c r="B11" s="18">
        <v>131000000</v>
      </c>
      <c r="C11" s="18">
        <v>119000000</v>
      </c>
      <c r="D11" s="18">
        <v>155000000</v>
      </c>
      <c r="E11" s="18">
        <v>334000000</v>
      </c>
      <c r="F11" s="8" t="s">
        <v>95</v>
      </c>
    </row>
    <row r="12" spans="1:6" x14ac:dyDescent="0.25">
      <c r="A12" t="s">
        <v>32</v>
      </c>
      <c r="B12" s="34">
        <v>1843500000</v>
      </c>
      <c r="C12" s="34">
        <v>1876700000</v>
      </c>
      <c r="D12" s="34">
        <v>1902800000</v>
      </c>
      <c r="E12" s="34">
        <v>1937800000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2026-09-19T00:06:53Z</dcterms:modified>
</cp:coreProperties>
</file>