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<sst xmlns="http://schemas.openxmlformats.org/spreadsheetml/2006/main" count="116" uniqueCount="104">
  <si>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Reliance Industries Limited (RELIANCE.NS)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</si>
  <si>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</si>
  <si>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</si>
  <si>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</si>
  <si>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</si>
  <si>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</si>
  <si>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</si>
  <si>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</si>
  <si>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</si>
  <si>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</si>
  <si>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</si>
  <si>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</si>
  <si>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</si>
  <si>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</si>
  <si>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</si>
  <si>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</si>
  <si>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</si>
  <si>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</si>
  <si>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</si>
  <si>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</si>
  <si>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</si>
  <si>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</si>
  <si>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</si>
  <si>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</si>
  <si>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</si>
  <si>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</si>
  <si>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</si>
  <si>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</si>
  <si>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</si>
  <si>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</si>
  <si>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</si>
  <si>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</si>
  <si>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</si>
  <si>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</si>
  <si>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</si>
  <si>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</si>
  <si>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</si>
  <si>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</si>
  <si>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</si>
  <si>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</si>
  <si>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</si>
  <si>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</si>
  <si>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</si>
  <si>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</si>
  <si>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</si>
  <si>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</si>
  <si>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</si>
  <si>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</si>
  <si>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</si>
  <si>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</si>
  <si>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</si>
  <si>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</si>
  <si>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</si>
  <si>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</si>
  <si>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</si>
  <si>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</si>
  <si>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</si>
  <si>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</si>
  <si>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</si>
  <si>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</si>
  <si>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</si>
  <si>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</si>
  <si>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</si>
  <si>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</si>
  <si>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</si>
  <si>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</si>
  <si>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</si>
  <si>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</si>
  <si>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</si>
  <si>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</si>
  <si>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</si>
  <si>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</si>
  <si>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</si>
  <si>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</si>
  <si>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</si>
  <si>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</si>
  <si>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</si>
  <si>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</si>
  <si>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</si>
  <si>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</si>
  <si>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</si>
  <si>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</si>
  <si>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</si>
  <si>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</si>
  <si>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</si>
  <si>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</si>
  <si>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</si>
  <si>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</si>
  <si>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</si>
  <si>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</si>
  <si>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</si>
  <si>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</si>
  <si>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</si>
  <si>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</si>
  <si>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</si>
  <si>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</si>
  <si>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</si>
  <si>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</si>
  <si>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</si>
  <si>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</si>
  <si>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Capital expenditure runs at 14.8% of revenue against depreciation of 5.3%.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</si>
  <si>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</si>
  <si>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No usable EV/EBITDA (EBITDA is not positive), so the exit multiple falls back to 8x.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</si>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</sst>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0.0639405357459426</v>
      </c>
    </row>
    <row r="7" spans="1:2" x14ac:dyDescent="0.25">
      <c r="A7" t="s">
        <v>5</v>
      </c>
      <c r="B7" s="6">
        <v>0.11788117516646396</v>
      </c>
    </row>
    <row r="8" spans="1:2" x14ac:dyDescent="0.25">
      <c r="A8" t="s">
        <v>6</v>
      </c>
      <c r="B8" s="6">
        <v>0.23084303243783086</v>
      </c>
    </row>
    <row r="9" spans="1:2" x14ac:dyDescent="0.25">
      <c r="A9" t="s">
        <v>7</v>
      </c>
      <c r="B9" s="6">
        <v>0.05299291478067358</v>
      </c>
    </row>
    <row r="10" spans="1:2" x14ac:dyDescent="0.25">
      <c r="A10" t="s">
        <v>8</v>
      </c>
      <c r="B10" s="6">
        <v>0.14790784566180798</v>
      </c>
    </row>
    <row r="11" spans="1:2" x14ac:dyDescent="0.25">
      <c r="A11" t="s">
        <v>9</v>
      </c>
      <c r="B11" s="6">
        <v>-0.27405398424383315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0.07460820424658829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0.43183999999999995</v>
      </c>
      <c r="C19" s="8" t="s">
        <v>19</v>
      </c>
    </row>
    <row r="20" spans="1:2" x14ac:dyDescent="0.25">
      <c r="A20" t="s">
        <v>20</v>
      </c>
      <c r="B20" s="10">
        <f>B17+B19*B18</f>
        <v>0.1025472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3980000000000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0.052302673794227504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10572190000000</v>
      </c>
      <c r="C29" s="8" t="s">
        <v>30</v>
      </c>
    </row>
    <row r="30" spans="1:2" x14ac:dyDescent="0.25">
      <c r="A30" t="s">
        <v>31</v>
      </c>
      <c r="B30" s="11">
        <v>1207880000000</v>
      </c>
    </row>
    <row r="31" spans="1:2" x14ac:dyDescent="0.25">
      <c r="A31" t="s">
        <v>32</v>
      </c>
      <c r="B31" s="13">
        <v>13532736424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0.0639405357459426</v>
      </c>
      <c r="C5" s="10">
        <f>Assumptions!B6</f>
        <v>0.0639405357459426</v>
      </c>
      <c r="D5" s="10">
        <f>Assumptions!B6</f>
        <v>0.0639405357459426</v>
      </c>
      <c r="E5" s="10">
        <f>Assumptions!B6</f>
        <v>0.0639405357459426</v>
      </c>
      <c r="F5" s="10">
        <f>Assumptions!B6</f>
        <v>0.0639405357459426</v>
      </c>
    </row>
    <row r="6" spans="1:6" x14ac:dyDescent="0.25">
      <c r="A6" t="s">
        <v>43</v>
      </c>
      <c r="B6" s="18">
        <f>Assumptions!B29*(1+B5)</f>
        <v>11248181492607.896</v>
      </c>
      <c r="C6" s="18">
        <f>B6*(1+C5)</f>
        <v>11967396243412.842</v>
      </c>
      <c r="D6" s="18">
        <f>C6*(1+D5)</f>
        <v>12732597970700.64</v>
      </c>
      <c r="E6" s="18">
        <f>D6*(1+E5)</f>
        <v>13546727106384.941</v>
      </c>
      <c r="F6" s="18">
        <f>E6*(1+F5)</f>
        <v>14412912095171.277</v>
      </c>
    </row>
    <row r="7" spans="1:6" x14ac:dyDescent="0.25">
      <c r="A7" t="s">
        <v>5</v>
      </c>
      <c r="B7" s="10">
        <f>Assumptions!B7</f>
        <v>0.11788117516646396</v>
      </c>
      <c r="C7" s="10">
        <f>Assumptions!B7</f>
        <v>0.11788117516646396</v>
      </c>
      <c r="D7" s="10">
        <f>Assumptions!B7</f>
        <v>0.11788117516646396</v>
      </c>
      <c r="E7" s="10">
        <f>Assumptions!B7</f>
        <v>0.11788117516646396</v>
      </c>
      <c r="F7" s="10">
        <f>Assumptions!B7</f>
        <v>0.11788117516646396</v>
      </c>
    </row>
    <row r="8" spans="1:6" x14ac:dyDescent="0.25">
      <c r="A8" t="s">
        <v>44</v>
      </c>
      <c r="B8" s="18">
        <f>B6*B7</f>
        <v>1325948852834.2896</v>
      </c>
      <c r="C8" s="18">
        <f>C6*C7</f>
        <v>1410730732856.232</v>
      </c>
      <c r="D8" s="18">
        <f>D6*D7</f>
        <v>1500933611708.3257</v>
      </c>
      <c r="E8" s="18">
        <f>E6*E7</f>
        <v>1596904110960.0488</v>
      </c>
      <c r="F8" s="18">
        <f>F6*F7</f>
        <v>1699011015349.7324</v>
      </c>
    </row>
    <row r="9" spans="1:6" x14ac:dyDescent="0.25">
      <c r="A9" t="s">
        <v>45</v>
      </c>
      <c r="B9" s="18">
        <f>B8*(1-Assumptions!B8)</f>
        <v>1019862798788.559</v>
      </c>
      <c r="C9" s="18">
        <f>C8*(1-Assumptions!B8)</f>
        <v>1085073372530.4558</v>
      </c>
      <c r="D9" s="18">
        <f>D8*(1-Assumptions!B8)</f>
        <v>1154453545293.71</v>
      </c>
      <c r="E9" s="18">
        <f>E8*(1-Assumptions!B8)</f>
        <v>1228269923473.5928</v>
      </c>
      <c r="F9" s="18">
        <f>F8*(1-Assumptions!B8)</f>
        <v>1306806160421.122</v>
      </c>
    </row>
    <row r="10" spans="1:6" x14ac:dyDescent="0.25">
      <c r="A10" t="s">
        <v>46</v>
      </c>
      <c r="B10" s="18">
        <f>B6*Assumptions!B9</f>
        <v>596073923275.3201</v>
      </c>
      <c r="C10" s="18">
        <f>C6*Assumptions!B9</f>
        <v>634187209273.7299</v>
      </c>
      <c r="D10" s="18">
        <f>D6*Assumptions!B9</f>
        <v>674737479197.9165</v>
      </c>
      <c r="E10" s="18">
        <f>E6*Assumptions!B9</f>
        <v>717880555105.698</v>
      </c>
      <c r="F10" s="18">
        <f>F6*Assumptions!B9</f>
        <v>763782222400.7511</v>
      </c>
    </row>
    <row r="11" spans="1:6" x14ac:dyDescent="0.25">
      <c r="A11" t="s">
        <v>47</v>
      </c>
      <c r="B11" s="18">
        <f>-B6*Assumptions!B10</f>
        <v>-1663694292184.6536</v>
      </c>
      <c r="C11" s="18">
        <f>-C6*Assumptions!B10</f>
        <v>-1770071796544.4072</v>
      </c>
      <c r="D11" s="18">
        <f>-D6*Assumptions!B10</f>
        <v>-1883251135524.2397</v>
      </c>
      <c r="E11" s="18">
        <f>-E6*Assumptions!B10</f>
        <v>-2003667222073.8145</v>
      </c>
      <c r="F11" s="18">
        <f>-F6*Assumptions!B10</f>
        <v>-2131782777709.7988</v>
      </c>
    </row>
    <row r="12" spans="1:6" x14ac:dyDescent="0.25">
      <c r="A12" t="s">
        <v>48</v>
      </c>
      <c r="B12" s="18">
        <f>-(B6-Assumptions!B29)*Assumptions!B11</f>
        <v>185258161864.12973</v>
      </c>
      <c r="C12" s="18">
        <f>-(C6-B6)*Assumptions!B11</f>
        <v>197103667985.03085</v>
      </c>
      <c r="D12" s="18">
        <f>-(D6-C6)*Assumptions!B11</f>
        <v>209706582113.48434</v>
      </c>
      <c r="E12" s="18">
        <f>-(E6-D6)*Assumptions!B11</f>
        <v>223115333323.27087</v>
      </c>
      <c r="F12" s="18">
        <f>-(F6-E6)*Assumptions!B11</f>
        <v>237381447269.0953</v>
      </c>
    </row>
    <row r="13" spans="1:6" x14ac:dyDescent="0.25">
      <c r="A13" s="19" t="s">
        <v>49</v>
      </c>
      <c r="B13" s="20">
        <f>B9+B10+B11+B12</f>
        <v>137500591743.35507</v>
      </c>
      <c r="C13" s="20">
        <f>C9+C10+C11+C12</f>
        <v>146292453244.80917</v>
      </c>
      <c r="D13" s="20">
        <f>D9+D10+D11+D12</f>
        <v>155646471080.87106</v>
      </c>
      <c r="E13" s="20">
        <f>E9+E10+E11+E12</f>
        <v>165598589828.7472</v>
      </c>
      <c r="F13" s="20">
        <f>F9+F10+F11+F12</f>
        <v>176187052381.16953</v>
      </c>
    </row>
    <row r="14" spans="1:6" x14ac:dyDescent="0.25">
      <c r="A14" t="s">
        <v>50</v>
      </c>
      <c r="B14" s="21">
        <f>1/(1+Assumptions!$B$26)^(1-0.5*Assumptions!$B$32)</f>
        <v>0.9748317442919707</v>
      </c>
      <c r="C14" s="21">
        <f>1/(1+Assumptions!$B$26)^(2-0.5*Assumptions!$B$32)</f>
        <v>0.9263796135546017</v>
      </c>
      <c r="D14" s="21">
        <f>1/(1+Assumptions!$B$26)^(3-0.5*Assumptions!$B$32)</f>
        <v>0.8803357024784588</v>
      </c>
      <c r="E14" s="21">
        <f>1/(1+Assumptions!$B$26)^(4-0.5*Assumptions!$B$32)</f>
        <v>0.8365803151523722</v>
      </c>
      <c r="F14" s="21">
        <f>1/(1+Assumptions!$B$26)^(5-0.5*Assumptions!$B$32)</f>
        <v>0.7949997049194623</v>
      </c>
    </row>
    <row r="15" spans="1:6" x14ac:dyDescent="0.25">
      <c r="A15" s="19" t="s">
        <v>51</v>
      </c>
      <c r="B15" s="20">
        <f>B13*B14</f>
        <v>134039941690.35297</v>
      </c>
      <c r="C15" s="20">
        <f>C13*C14</f>
        <v>135522346302.88097</v>
      </c>
      <c r="D15" s="20">
        <f>D13*D14</f>
        <v>137021145457.27176</v>
      </c>
      <c r="E15" s="20">
        <f>E13*E14</f>
        <v>138536520467.72174</v>
      </c>
      <c r="F15" s="20">
        <f>F13*F14</f>
        <v>140068654653.6596</v>
      </c>
    </row>
    <row r="17" spans="1:2" x14ac:dyDescent="0.25">
      <c r="A17" s="22" t="s">
        <v>52</v>
      </c>
      <c r="B17" s="23">
        <f>SUM(B15:F15)</f>
        <v>685188608571.8871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176187052381.16953</v>
      </c>
    </row>
    <row r="5" spans="1:2" x14ac:dyDescent="0.25">
      <c r="A5" t="s">
        <v>56</v>
      </c>
      <c r="B5" s="18">
        <f>IF(Assumptions!$B$33=0,B4,B4-Forecast!F11-Forecast!F10-Forecast!F12)</f>
        <v>1306806160421.122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0.3350837920903747</v>
      </c>
    </row>
    <row r="7" spans="1:2" x14ac:dyDescent="0.25">
      <c r="A7" t="s">
        <v>58</v>
      </c>
      <c r="B7" s="18">
        <f>-MAX(Forecast!F9,0)*B6</f>
        <v>-437889563760.9721</v>
      </c>
    </row>
    <row r="8" spans="1:2" x14ac:dyDescent="0.25">
      <c r="A8" t="s">
        <v>59</v>
      </c>
      <c r="B8" s="18">
        <f>IF(OR(Assumptions!$B$33=0,Assumptions!B12&lt;=0),B5,MAX(B5+B7,0))</f>
        <v>868916596660.1499</v>
      </c>
    </row>
    <row r="9" spans="1:2" x14ac:dyDescent="0.25">
      <c r="A9" t="s">
        <v>60</v>
      </c>
      <c r="B9" s="18">
        <f>B8*(1+Assumptions!B12)/(Assumptions!B26-Assumptions!B12)</f>
        <v>32620962997585.9</v>
      </c>
    </row>
    <row r="10" spans="1:2" x14ac:dyDescent="0.25">
      <c r="A10" t="s">
        <v>61</v>
      </c>
      <c r="B10" s="18">
        <f>B9/(1+Assumptions!B26)^(5-0.5*Assumptions!B32)</f>
        <v>25933655957269.484</v>
      </c>
    </row>
    <row r="11" spans="1:2" x14ac:dyDescent="0.25">
      <c r="A11" t="s">
        <v>62</v>
      </c>
      <c r="B11" s="18">
        <f>Forecast!B17+B10</f>
        <v>26618844565841.37</v>
      </c>
    </row>
    <row r="12" spans="1:2" x14ac:dyDescent="0.25">
      <c r="A12" t="s">
        <v>63</v>
      </c>
      <c r="B12" s="18">
        <f>-Assumptions!B30</f>
        <v>-1207880000000</v>
      </c>
    </row>
    <row r="13" spans="1:2" x14ac:dyDescent="0.25">
      <c r="A13" t="s">
        <v>64</v>
      </c>
      <c r="B13" s="18">
        <f>B11+B12</f>
        <v>25410964565841.37</v>
      </c>
    </row>
    <row r="14" spans="1:2" x14ac:dyDescent="0.25">
      <c r="A14" s="19" t="s">
        <v>65</v>
      </c>
      <c r="B14" s="24">
        <f>B13/Assumptions!B31</f>
        <v>1877.7403009767932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2462793237750.4834</v>
      </c>
    </row>
    <row r="18" spans="1:2" x14ac:dyDescent="0.25">
      <c r="A18" t="s">
        <v>60</v>
      </c>
      <c r="B18" s="18">
        <f>B17*Assumptions!B13</f>
        <v>19702345902003.867</v>
      </c>
    </row>
    <row r="19" spans="1:2" x14ac:dyDescent="0.25">
      <c r="A19" t="s">
        <v>61</v>
      </c>
      <c r="B19" s="18">
        <f>B18/(1+Assumptions!B26)^(5-0.5*Assumptions!B32)</f>
        <v>15663359178314.25</v>
      </c>
    </row>
    <row r="20" spans="1:2" x14ac:dyDescent="0.25">
      <c r="A20" t="s">
        <v>62</v>
      </c>
      <c r="B20" s="18">
        <f>Forecast!B17+B19</f>
        <v>16348547786886.137</v>
      </c>
    </row>
    <row r="21" spans="1:2" x14ac:dyDescent="0.25">
      <c r="A21" t="s">
        <v>63</v>
      </c>
      <c r="B21" s="18">
        <f>-Assumptions!B30</f>
        <v>-1207880000000</v>
      </c>
    </row>
    <row r="22" spans="1:2" x14ac:dyDescent="0.25">
      <c r="A22" t="s">
        <v>64</v>
      </c>
      <c r="B22" s="18">
        <f>B20+B21</f>
        <v>15140667786886.137</v>
      </c>
    </row>
    <row r="23" spans="1:2" x14ac:dyDescent="0.25">
      <c r="A23" s="19" t="s">
        <v>65</v>
      </c>
      <c r="B23" s="25">
        <f>B22/Assumptions!B31</f>
        <v>1118.8179029360615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1226.4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1877.7403009767932</v>
      </c>
    </row>
    <row r="29" spans="1:2" x14ac:dyDescent="0.25">
      <c r="A29" s="19" t="s">
        <v>73</v>
      </c>
      <c r="B29" s="12">
        <f>B28/B26-1</f>
        <v>0.53109939740443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0.032303</v>
      </c>
      <c r="B5" s="31">
        <v>3886.3546525092634</v>
      </c>
      <c r="C5" s="31">
        <v>5042.618643247078</v>
      </c>
      <c r="D5" s="31">
        <v>7774.474999748868</v>
      </c>
      <c r="E5" s="31">
        <v>22344.140607146895</v>
      </c>
      <c r="F5" s="31" t="s">
        <v>76</v>
      </c>
    </row>
    <row r="6" spans="1:6" x14ac:dyDescent="0.25">
      <c r="A6" s="30">
        <v>0.042303</v>
      </c>
      <c r="B6" s="31">
        <v>2342.8927933441287</v>
      </c>
      <c r="C6" s="31">
        <v>2645.2446815304174</v>
      </c>
      <c r="D6" s="31">
        <v>3119.2321963518025</v>
      </c>
      <c r="E6" s="31">
        <v>3974.116038411912</v>
      </c>
      <c r="F6" s="31">
        <v>5992.2383833345875</v>
      </c>
    </row>
    <row r="7" spans="1:6" x14ac:dyDescent="0.25">
      <c r="A7" s="30">
        <v>0.052303</v>
      </c>
      <c r="B7" s="31">
        <v>1630.288538155264</v>
      </c>
      <c r="C7" s="31">
        <v>1735.6491098145186</v>
      </c>
      <c r="D7" s="32">
        <v>1877.7146921762153</v>
      </c>
      <c r="E7" s="31">
        <v>2081.171433316248</v>
      </c>
      <c r="F7" s="31">
        <v>2399.2394327361512</v>
      </c>
    </row>
    <row r="8" spans="1:6" x14ac:dyDescent="0.25">
      <c r="A8" s="30">
        <v>0.062303</v>
      </c>
      <c r="B8" s="31">
        <v>1221.4464267123058</v>
      </c>
      <c r="C8" s="31">
        <v>1258.5852813588444</v>
      </c>
      <c r="D8" s="31">
        <v>1304.3583886755516</v>
      </c>
      <c r="E8" s="31">
        <v>1362.775091139987</v>
      </c>
      <c r="F8" s="31">
        <v>1440.7816557270562</v>
      </c>
    </row>
    <row r="9" spans="1:6" x14ac:dyDescent="0.25">
      <c r="A9" s="30">
        <v>0.072303</v>
      </c>
      <c r="B9" s="31">
        <v>957.2156369061796</v>
      </c>
      <c r="C9" s="31">
        <v>965.8411271464149</v>
      </c>
      <c r="D9" s="31">
        <v>975.2907828481016</v>
      </c>
      <c r="E9" s="31">
        <v>985.856840541079</v>
      </c>
      <c r="F9" s="31">
        <v>997.9882193436315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10572190000000</v>
      </c>
      <c r="C5" s="18">
        <v>9646930000000</v>
      </c>
      <c r="D5" s="18">
        <v>9010640000000</v>
      </c>
      <c r="E5" s="18">
        <v>8778350000000</v>
      </c>
      <c r="F5" s="8" t="s">
        <v>85</v>
      </c>
    </row>
    <row r="6" spans="1:6" x14ac:dyDescent="0.25">
      <c r="A6" t="s">
        <v>44</v>
      </c>
      <c r="B6" s="18">
        <v>1213770000000</v>
      </c>
      <c r="C6" s="18">
        <v>1124620000000</v>
      </c>
      <c r="D6" s="18">
        <v>1116660000000</v>
      </c>
      <c r="E6" s="18">
        <v>1020150000000</v>
      </c>
      <c r="F6" s="8" t="s">
        <v>86</v>
      </c>
    </row>
    <row r="7" spans="1:6" x14ac:dyDescent="0.25">
      <c r="A7" t="s">
        <v>87</v>
      </c>
      <c r="B7" s="18">
        <v>576880000000</v>
      </c>
      <c r="C7" s="18">
        <v>531360000000</v>
      </c>
      <c r="D7" s="18">
        <v>508320000000</v>
      </c>
      <c r="E7" s="18">
        <v>403030000000</v>
      </c>
      <c r="F7" s="8" t="s">
        <v>88</v>
      </c>
    </row>
    <row r="8" spans="1:6" x14ac:dyDescent="0.25">
      <c r="A8" t="s">
        <v>89</v>
      </c>
      <c r="B8" s="18">
        <v>1229160000000</v>
      </c>
      <c r="C8" s="18">
        <v>1399670000000</v>
      </c>
      <c r="D8" s="18">
        <v>1528830000000</v>
      </c>
      <c r="E8" s="18">
        <v>1409880000000</v>
      </c>
      <c r="F8" s="8" t="s">
        <v>90</v>
      </c>
    </row>
    <row r="9" spans="1:6" x14ac:dyDescent="0.25">
      <c r="A9" t="s">
        <v>91</v>
      </c>
      <c r="B9" s="18">
        <v>-124970000000</v>
      </c>
      <c r="C9" s="18">
        <v>-237240000000</v>
      </c>
      <c r="D9" s="18">
        <v>-63660000000</v>
      </c>
      <c r="E9" s="18">
        <v>196340000000</v>
      </c>
      <c r="F9" s="8" t="s">
        <v>92</v>
      </c>
    </row>
    <row r="10" spans="1:6" x14ac:dyDescent="0.25">
      <c r="A10" t="s">
        <v>93</v>
      </c>
      <c r="B10" s="18">
        <v>3980000000000</v>
      </c>
      <c r="C10" s="18">
        <v>3695750000000</v>
      </c>
      <c r="D10" s="18">
        <v>3461420000000</v>
      </c>
      <c r="E10" s="18">
        <v>3343920000000</v>
      </c>
      <c r="F10" s="8" t="s">
        <v>94</v>
      </c>
    </row>
    <row r="11" spans="1:6" x14ac:dyDescent="0.25">
      <c r="A11" t="s">
        <v>95</v>
      </c>
      <c r="B11" s="18">
        <v>2772120000000</v>
      </c>
      <c r="C11" s="18">
        <v>2387920000000</v>
      </c>
      <c r="D11" s="18">
        <v>2113100000000</v>
      </c>
      <c r="E11" s="18">
        <v>1612330000000</v>
      </c>
      <c r="F11" s="8" t="s">
        <v>96</v>
      </c>
    </row>
    <row r="12" spans="1:6" x14ac:dyDescent="0.25">
      <c r="A12" t="s">
        <v>32</v>
      </c>
      <c r="B12" s="34">
        <v>13532736424</v>
      </c>
      <c r="C12" s="34">
        <v>13532410577</v>
      </c>
      <c r="D12" s="34">
        <v>13532481373</v>
      </c>
      <c r="E12" s="34">
        <v>13532311532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