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<sst xmlns="http://schemas.openxmlformats.org/spreadsheetml/2006/main" count="113" uniqueCount="101">
  <si>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RELX PLC (REN.AS)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</si>
  <si>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</si>
  <si>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</si>
  <si>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</si>
  <si>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</si>
  <si>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</si>
  <si>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</si>
  <si>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</si>
  <si>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</si>
  <si>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</si>
  <si>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</si>
  <si>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</si>
  <si>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</si>
  <si>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</si>
  <si>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</si>
  <si>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</si>
  <si>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</si>
  <si>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</si>
  <si>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</si>
  <si>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</si>
  <si>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</si>
  <si>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</si>
  <si>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</si>
  <si>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</si>
  <si>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</si>
  <si>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</si>
  <si>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</si>
  <si>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</si>
  <si>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</si>
  <si>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</si>
  <si>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</si>
  <si>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</si>
  <si>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</si>
  <si>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</si>
  <si>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</si>
  <si>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</si>
  <si>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</si>
  <si>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</si>
  <si>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</si>
  <si>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</si>
  <si>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</si>
  <si>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</si>
  <si>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</si>
  <si>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</si>
  <si>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</si>
  <si>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</si>
  <si>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</si>
  <si>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</si>
  <si>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</si>
  <si>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</si>
  <si>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</si>
  <si>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</si>
  <si>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</si>
  <si>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</si>
  <si>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</si>
  <si>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</si>
  <si>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</si>
  <si>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</si>
  <si>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</si>
  <si>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</si>
  <si>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</si>
  <si>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</si>
  <si>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</si>
  <si>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</si>
  <si>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</si>
  <si>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</si>
  <si>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</si>
  <si>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</si>
  <si>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</si>
  <si>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</si>
  <si>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GBP to EUR</t>
  </si>
  <si>
    <t>GBP/EUR at 1.1659</t>
  </si>
  <si>
    <t>Value per share (EUR)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</si>
  <si>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</si>
  <si>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</si>
  <si>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</si>
  <si>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</si>
  <si>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</si>
  <si>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</si>
  <si>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</si>
  <si>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</si>
  <si>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</si>
  <si>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</si>
  <si>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</si>
  <si>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</si>
  <si>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</si>
  <si>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</si>
  <si>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</si>
  <si>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</si>
  <si>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</si>
  <si>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</si>
  <si>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</si>
  <si>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</si>
  <si>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</si>
  <si>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</si>
  <si>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</si>
  <si>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</si>
  <si>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</si>
  <si>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GBP, trades in EUR. Modelled in GBP, converted at the end.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</si>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</sst>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0.038883172385113296</v>
      </c>
    </row>
    <row r="7" spans="1:2" x14ac:dyDescent="0.25">
      <c r="A7" t="s">
        <v>5</v>
      </c>
      <c r="B7" s="6">
        <v>0.29172016592737143</v>
      </c>
    </row>
    <row r="8" spans="1:2" x14ac:dyDescent="0.25">
      <c r="A8" t="s">
        <v>6</v>
      </c>
      <c r="B8" s="6">
        <v>0.23368624606487465</v>
      </c>
    </row>
    <row r="9" spans="1:2" x14ac:dyDescent="0.25">
      <c r="A9" t="s">
        <v>7</v>
      </c>
      <c r="B9" s="6">
        <v>0.0763998358515161</v>
      </c>
    </row>
    <row r="10" spans="1:2" x14ac:dyDescent="0.25">
      <c r="A10" t="s">
        <v>8</v>
      </c>
      <c r="B10" s="6">
        <v>0.052273284359558594</v>
      </c>
    </row>
    <row r="11" spans="1:2" x14ac:dyDescent="0.25">
      <c r="A11" t="s">
        <v>9</v>
      </c>
      <c r="B11" s="6">
        <v>0.40384615384615385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15.924892436642896</v>
      </c>
    </row>
    <row r="14" spans="1:3" x14ac:dyDescent="0.25">
      <c r="A14" t="s">
        <v>12</v>
      </c>
      <c r="B14" s="6">
        <v>0.21171581399361963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0.50755</v>
      </c>
      <c r="C19" s="8" t="s">
        <v>19</v>
      </c>
    </row>
    <row r="20" spans="1:2" x14ac:dyDescent="0.25">
      <c r="A20" t="s">
        <v>20</v>
      </c>
      <c r="B20" s="10">
        <f>B17+B19*B18</f>
        <v>0.07499075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50926157824</v>
      </c>
    </row>
    <row r="23" spans="1:2" x14ac:dyDescent="0.25">
      <c r="A23" t="s">
        <v>24</v>
      </c>
      <c r="B23" s="11">
        <v>7267000000</v>
      </c>
    </row>
    <row r="24" spans="1:2" x14ac:dyDescent="0.25">
      <c r="A24" t="s">
        <v>25</v>
      </c>
      <c r="B24" s="10">
        <f>B22/(B22+B23)</f>
        <v>0.875122776083429</v>
      </c>
    </row>
    <row r="25" spans="1:2" x14ac:dyDescent="0.25">
      <c r="A25" t="s">
        <v>26</v>
      </c>
      <c r="B25" s="10">
        <f>1-B24</f>
        <v>0.12487722391657097</v>
      </c>
    </row>
    <row r="26" spans="1:2" x14ac:dyDescent="0.25">
      <c r="A26" t="s">
        <v>27</v>
      </c>
      <c r="B26" s="12">
        <f>B24*B20+B25*B21*(1-B8)</f>
        <v>0.0696453089586796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9590000000</v>
      </c>
      <c r="C29" s="8" t="s">
        <v>30</v>
      </c>
    </row>
    <row r="30" spans="1:2" x14ac:dyDescent="0.25">
      <c r="A30" t="s">
        <v>31</v>
      </c>
      <c r="B30" s="11">
        <v>7136000000</v>
      </c>
    </row>
    <row r="31" spans="1:2" x14ac:dyDescent="0.25">
      <c r="A31" t="s">
        <v>32</v>
      </c>
      <c r="B31" s="13">
        <v>1843500000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0.038883172385113296</v>
      </c>
      <c r="C5" s="10">
        <f>Assumptions!B6</f>
        <v>0.038883172385113296</v>
      </c>
      <c r="D5" s="10">
        <f>Assumptions!B6</f>
        <v>0.038883172385113296</v>
      </c>
      <c r="E5" s="10">
        <f>Assumptions!B6</f>
        <v>0.038883172385113296</v>
      </c>
      <c r="F5" s="10">
        <f>Assumptions!B6</f>
        <v>0.038883172385113296</v>
      </c>
    </row>
    <row r="6" spans="1:6" x14ac:dyDescent="0.25">
      <c r="A6" t="s">
        <v>43</v>
      </c>
      <c r="B6" s="18">
        <f>Assumptions!B29*(1+B5)</f>
        <v>9962889623.173237</v>
      </c>
      <c r="C6" s="18">
        <f>B6*(1+C5)</f>
        <v>10350278377.844938</v>
      </c>
      <c r="D6" s="18">
        <f>C6*(1+D5)</f>
        <v>10752730036.244595</v>
      </c>
      <c r="E6" s="18">
        <f>D6*(1+E5)</f>
        <v>11170830291.854479</v>
      </c>
      <c r="F6" s="18">
        <f>E6*(1+F5)</f>
        <v>11605187611.777502</v>
      </c>
    </row>
    <row r="7" spans="1:6" x14ac:dyDescent="0.25">
      <c r="A7" t="s">
        <v>5</v>
      </c>
      <c r="B7" s="10">
        <f>Assumptions!B7</f>
        <v>0.29172016592737143</v>
      </c>
      <c r="C7" s="10">
        <f>Assumptions!B7</f>
        <v>0.29172016592737143</v>
      </c>
      <c r="D7" s="10">
        <f>Assumptions!B7</f>
        <v>0.29172016592737143</v>
      </c>
      <c r="E7" s="10">
        <f>Assumptions!B7</f>
        <v>0.29172016592737143</v>
      </c>
      <c r="F7" s="10">
        <f>Assumptions!B7</f>
        <v>0.29172016592737143</v>
      </c>
    </row>
    <row r="8" spans="1:6" x14ac:dyDescent="0.25">
      <c r="A8" t="s">
        <v>44</v>
      </c>
      <c r="B8" s="18">
        <f>B6*B7</f>
        <v>2906375813.9881835</v>
      </c>
      <c r="C8" s="18">
        <f>C6*C7</f>
        <v>3019384925.7794104</v>
      </c>
      <c r="D8" s="18">
        <f>D6*D7</f>
        <v>3136788190.345504</v>
      </c>
      <c r="E8" s="18">
        <f>E6*E7</f>
        <v>3258756466.2862954</v>
      </c>
      <c r="F8" s="18">
        <f>F6*F7</f>
        <v>3385467255.7260084</v>
      </c>
    </row>
    <row r="9" spans="1:6" x14ac:dyDescent="0.25">
      <c r="A9" t="s">
        <v>45</v>
      </c>
      <c r="B9" s="18">
        <f>B8*(1-Assumptions!B8)</f>
        <v>2227195760.3635406</v>
      </c>
      <c r="C9" s="18">
        <f>C8*(1-Assumptions!B8)</f>
        <v>2313796197.04915</v>
      </c>
      <c r="D9" s="18">
        <f>D8*(1-Assumptions!B8)</f>
        <v>2403763933.443032</v>
      </c>
      <c r="E9" s="18">
        <f>E8*(1-Assumptions!B8)</f>
        <v>2497229900.8402147</v>
      </c>
      <c r="F9" s="18">
        <f>F8*(1-Assumptions!B8)</f>
        <v>2594330121.5598445</v>
      </c>
    </row>
    <row r="10" spans="1:6" x14ac:dyDescent="0.25">
      <c r="A10" t="s">
        <v>46</v>
      </c>
      <c r="B10" s="18">
        <f>B6*Assumptions!B9</f>
        <v>761163131.8172084</v>
      </c>
      <c r="C10" s="18">
        <f>C6*Assumptions!B9</f>
        <v>790759569.0848497</v>
      </c>
      <c r="D10" s="18">
        <f>D6*Assumptions!B9</f>
        <v>821506809.7247539</v>
      </c>
      <c r="E10" s="18">
        <f>E6*Assumptions!B9</f>
        <v>853449600.622826</v>
      </c>
      <c r="F10" s="18">
        <f>F6*Assumptions!B9</f>
        <v>886634428.5658494</v>
      </c>
    </row>
    <row r="11" spans="1:6" x14ac:dyDescent="0.25">
      <c r="A11" t="s">
        <v>47</v>
      </c>
      <c r="B11" s="18">
        <f>-B6*Assumptions!B10</f>
        <v>-520792962.31503016</v>
      </c>
      <c r="C11" s="18">
        <f>-C6*Assumptions!B10</f>
        <v>-541043044.8456793</v>
      </c>
      <c r="D11" s="18">
        <f>-D6*Assumptions!B10</f>
        <v>-562080514.8261805</v>
      </c>
      <c r="E11" s="18">
        <f>-E6*Assumptions!B10</f>
        <v>-583935988.3784801</v>
      </c>
      <c r="F11" s="18">
        <f>-F6*Assumptions!B10</f>
        <v>-606641272.076472</v>
      </c>
    </row>
    <row r="12" spans="1:6" x14ac:dyDescent="0.25">
      <c r="A12" t="s">
        <v>48</v>
      </c>
      <c r="B12" s="18">
        <f>-(B6-Assumptions!B29)*Assumptions!B11</f>
        <v>-150590040.12765333</v>
      </c>
      <c r="C12" s="18">
        <f>-(C6-B6)*Assumptions!B11</f>
        <v>-156445458.6174179</v>
      </c>
      <c r="D12" s="18">
        <f>-(D6-C6)*Assumptions!B11</f>
        <v>-162528554.35370734</v>
      </c>
      <c r="E12" s="18">
        <f>-(E6-D6)*Assumptions!B11</f>
        <v>-168848180.15014556</v>
      </c>
      <c r="F12" s="18">
        <f>-(F6-E6)*Assumptions!B11</f>
        <v>-175413533.0458363</v>
      </c>
    </row>
    <row r="13" spans="1:6" x14ac:dyDescent="0.25">
      <c r="A13" s="19" t="s">
        <v>49</v>
      </c>
      <c r="B13" s="20">
        <f>B9+B10+B11+B12</f>
        <v>2316975889.7380657</v>
      </c>
      <c r="C13" s="20">
        <f>C9+C10+C11+C12</f>
        <v>2407067262.6709027</v>
      </c>
      <c r="D13" s="20">
        <f>D9+D10+D11+D12</f>
        <v>2500661673.987898</v>
      </c>
      <c r="E13" s="20">
        <f>E9+E10+E11+E12</f>
        <v>2597895332.9344153</v>
      </c>
      <c r="F13" s="20">
        <f>F9+F10+F11+F12</f>
        <v>2698909745.0033855</v>
      </c>
    </row>
    <row r="14" spans="1:6" x14ac:dyDescent="0.25">
      <c r="A14" t="s">
        <v>50</v>
      </c>
      <c r="B14" s="21">
        <f>1/(1+Assumptions!$B$26)^(1-0.5*Assumptions!$B$32)</f>
        <v>0.9668967591596348</v>
      </c>
      <c r="C14" s="21">
        <f>1/(1+Assumptions!$B$26)^(2-0.5*Assumptions!$B$32)</f>
        <v>0.9039414757971759</v>
      </c>
      <c r="D14" s="21">
        <f>1/(1+Assumptions!$B$26)^(3-0.5*Assumptions!$B$32)</f>
        <v>0.8450852523040375</v>
      </c>
      <c r="E14" s="21">
        <f>1/(1+Assumptions!$B$26)^(4-0.5*Assumptions!$B$32)</f>
        <v>0.7900611961985272</v>
      </c>
      <c r="F14" s="21">
        <f>1/(1+Assumptions!$B$26)^(5-0.5*Assumptions!$B$32)</f>
        <v>0.7386197925438173</v>
      </c>
    </row>
    <row r="15" spans="1:6" x14ac:dyDescent="0.25">
      <c r="A15" s="19" t="s">
        <v>51</v>
      </c>
      <c r="B15" s="20">
        <f>B13*B14</f>
        <v>2240276478.838747</v>
      </c>
      <c r="C15" s="20">
        <f>C13*C14</f>
        <v>2175847933.761804</v>
      </c>
      <c r="D15" s="20">
        <f>D13*D14</f>
        <v>2113272301.6890996</v>
      </c>
      <c r="E15" s="20">
        <f>E13*E14</f>
        <v>2052496294.3367352</v>
      </c>
      <c r="F15" s="20">
        <f>F13*F14</f>
        <v>1993468155.9488873</v>
      </c>
    </row>
    <row r="17" spans="1:2" x14ac:dyDescent="0.25">
      <c r="A17" s="22" t="s">
        <v>52</v>
      </c>
      <c r="B17" s="23">
        <f>SUM(B15:F15)</f>
        <v>10575361164.575274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2698909745.0033855</v>
      </c>
    </row>
    <row r="5" spans="1:2" x14ac:dyDescent="0.25">
      <c r="A5" t="s">
        <v>56</v>
      </c>
      <c r="B5" s="18">
        <f>IF(Assumptions!$B$33=0,B4,B4-Forecast!F11-Forecast!F10-Forecast!F12)</f>
        <v>3184563779.0496116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0.11808281832340314</v>
      </c>
    </row>
    <row r="7" spans="1:2" x14ac:dyDescent="0.25">
      <c r="A7" t="s">
        <v>58</v>
      </c>
      <c r="B7" s="18">
        <f>-MAX(Forecast!F9,0)*B6</f>
        <v>-376042266.1608054</v>
      </c>
    </row>
    <row r="8" spans="1:2" x14ac:dyDescent="0.25">
      <c r="A8" t="s">
        <v>59</v>
      </c>
      <c r="B8" s="18">
        <f>IF(OR(Assumptions!$B$33=0,Assumptions!B12&lt;=0),B5,MAX(B5+B7,0))</f>
        <v>2808521512.8888063</v>
      </c>
    </row>
    <row r="9" spans="1:2" x14ac:dyDescent="0.25">
      <c r="A9" t="s">
        <v>60</v>
      </c>
      <c r="B9" s="18">
        <f>B8*(1+Assumptions!B12)/(Assumptions!B26-Assumptions!B12)</f>
        <v>64480112644.65367</v>
      </c>
    </row>
    <row r="10" spans="1:2" x14ac:dyDescent="0.25">
      <c r="A10" t="s">
        <v>61</v>
      </c>
      <c r="B10" s="18">
        <f>B9/(1+Assumptions!B26)^(5-0.5*Assumptions!B32)</f>
        <v>47626287424.79607</v>
      </c>
    </row>
    <row r="11" spans="1:2" x14ac:dyDescent="0.25">
      <c r="A11" t="s">
        <v>62</v>
      </c>
      <c r="B11" s="18">
        <f>Forecast!B17+B10</f>
        <v>58201648589.37134</v>
      </c>
    </row>
    <row r="12" spans="1:2" x14ac:dyDescent="0.25">
      <c r="A12" t="s">
        <v>63</v>
      </c>
      <c r="B12" s="18">
        <f>-Assumptions!B30</f>
        <v>-7136000000</v>
      </c>
    </row>
    <row r="13" spans="1:2" x14ac:dyDescent="0.25">
      <c r="A13" t="s">
        <v>64</v>
      </c>
      <c r="B13" s="18">
        <f>B11+B12</f>
        <v>51065648589.37134</v>
      </c>
    </row>
    <row r="14" spans="1:2" x14ac:dyDescent="0.25">
      <c r="A14" s="19" t="s">
        <v>65</v>
      </c>
      <c r="B14" s="24">
        <f>B13/Assumptions!B31</f>
        <v>27.700378947312903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4272101684.2918577</v>
      </c>
    </row>
    <row r="18" spans="1:2" x14ac:dyDescent="0.25">
      <c r="A18" t="s">
        <v>60</v>
      </c>
      <c r="B18" s="18">
        <f>B17*Assumptions!B13</f>
        <v>68032759800.74878</v>
      </c>
    </row>
    <row r="19" spans="1:2" x14ac:dyDescent="0.25">
      <c r="A19" t="s">
        <v>61</v>
      </c>
      <c r="B19" s="18">
        <f>B18/(1+Assumptions!B26)^(5-0.5*Assumptions!B32)</f>
        <v>50250342930.21242</v>
      </c>
    </row>
    <row r="20" spans="1:2" x14ac:dyDescent="0.25">
      <c r="A20" t="s">
        <v>62</v>
      </c>
      <c r="B20" s="18">
        <f>Forecast!B17+B19</f>
        <v>60825704094.78769</v>
      </c>
    </row>
    <row r="21" spans="1:2" x14ac:dyDescent="0.25">
      <c r="A21" t="s">
        <v>63</v>
      </c>
      <c r="B21" s="18">
        <f>-Assumptions!B30</f>
        <v>-7136000000</v>
      </c>
    </row>
    <row r="22" spans="1:2" x14ac:dyDescent="0.25">
      <c r="A22" t="s">
        <v>64</v>
      </c>
      <c r="B22" s="18">
        <f>B20+B21</f>
        <v>53689704094.78769</v>
      </c>
    </row>
    <row r="23" spans="1:2" x14ac:dyDescent="0.25">
      <c r="A23" s="19" t="s">
        <v>65</v>
      </c>
      <c r="B23" s="25">
        <f>B22/Assumptions!B31</f>
        <v>29.12378849730821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29.28</v>
      </c>
    </row>
    <row r="27" spans="1:3" x14ac:dyDescent="0.25">
      <c r="A27" t="s">
        <v>70</v>
      </c>
      <c r="B27" s="27">
        <v>1.1659</v>
      </c>
      <c r="C27" s="8" t="s">
        <v>71</v>
      </c>
    </row>
    <row r="28" spans="1:2" x14ac:dyDescent="0.25">
      <c r="A28" t="s">
        <v>72</v>
      </c>
      <c r="B28" s="28">
        <f>B14*B27</f>
        <v>32.29587181467211</v>
      </c>
    </row>
    <row r="29" spans="1:2" x14ac:dyDescent="0.25">
      <c r="A29" s="19" t="s">
        <v>73</v>
      </c>
      <c r="B29" s="12">
        <f>B28/B26-1</f>
        <v>0.1030010865666704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0.049645</v>
      </c>
      <c r="B5" s="31">
        <v>39.95016701639945</v>
      </c>
      <c r="C5" s="31">
        <v>45.41657268763228</v>
      </c>
      <c r="D5" s="31">
        <v>53.08772627476995</v>
      </c>
      <c r="E5" s="31">
        <v>64.64706981082709</v>
      </c>
      <c r="F5" s="31">
        <v>84.07704434966455</v>
      </c>
    </row>
    <row r="6" spans="1:6" x14ac:dyDescent="0.25">
      <c r="A6" s="30">
        <v>0.059645</v>
      </c>
      <c r="B6" s="31">
        <v>30.115967036471545</v>
      </c>
      <c r="C6" s="31">
        <v>33.009250481329666</v>
      </c>
      <c r="D6" s="31">
        <v>36.728583657204126</v>
      </c>
      <c r="E6" s="31">
        <v>41.69193741804144</v>
      </c>
      <c r="F6" s="31">
        <v>48.65647584476851</v>
      </c>
    </row>
    <row r="7" spans="1:6" x14ac:dyDescent="0.25">
      <c r="A7" s="30">
        <v>0.069645</v>
      </c>
      <c r="B7" s="31">
        <v>23.886311490730478</v>
      </c>
      <c r="C7" s="31">
        <v>25.60441034352464</v>
      </c>
      <c r="D7" s="32">
        <v>27.700595358038633</v>
      </c>
      <c r="E7" s="31">
        <v>30.317918430496384</v>
      </c>
      <c r="F7" s="31">
        <v>33.68201301072201</v>
      </c>
    </row>
    <row r="8" spans="1:6" x14ac:dyDescent="0.25">
      <c r="A8" s="30">
        <v>0.079645</v>
      </c>
      <c r="B8" s="31">
        <v>19.58816243969263</v>
      </c>
      <c r="C8" s="31">
        <v>20.685715951170547</v>
      </c>
      <c r="D8" s="31">
        <v>21.978832842373016</v>
      </c>
      <c r="E8" s="31">
        <v>23.52660165586966</v>
      </c>
      <c r="F8" s="31">
        <v>25.414581330722257</v>
      </c>
    </row>
    <row r="9" spans="1:6" x14ac:dyDescent="0.25">
      <c r="A9" s="30">
        <v>0.089645</v>
      </c>
      <c r="B9" s="31">
        <v>16.445027701393844</v>
      </c>
      <c r="C9" s="31">
        <v>17.18207871139857</v>
      </c>
      <c r="D9" s="31">
        <v>18.028856377494247</v>
      </c>
      <c r="E9" s="31">
        <v>19.012955633730087</v>
      </c>
      <c r="F9" s="31">
        <v>20.172071124668296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9590000000</v>
      </c>
      <c r="C5" s="18">
        <v>9434000000</v>
      </c>
      <c r="D5" s="18">
        <v>9161000000</v>
      </c>
      <c r="E5" s="18">
        <v>8553000000</v>
      </c>
      <c r="F5" s="8" t="s">
        <v>84</v>
      </c>
    </row>
    <row r="6" spans="1:6" x14ac:dyDescent="0.25">
      <c r="A6" t="s">
        <v>44</v>
      </c>
      <c r="B6" s="18">
        <v>2983000000</v>
      </c>
      <c r="C6" s="18">
        <v>2818000000</v>
      </c>
      <c r="D6" s="18">
        <v>2636000000</v>
      </c>
      <c r="E6" s="18">
        <v>2304000000</v>
      </c>
      <c r="F6" s="8" t="s">
        <v>85</v>
      </c>
    </row>
    <row r="7" spans="1:6" x14ac:dyDescent="0.25">
      <c r="A7" t="s">
        <v>86</v>
      </c>
      <c r="B7" s="18">
        <v>663000000</v>
      </c>
      <c r="C7" s="18">
        <v>706000000</v>
      </c>
      <c r="D7" s="18">
        <v>717000000</v>
      </c>
      <c r="E7" s="18">
        <v>713000000</v>
      </c>
      <c r="F7" s="8" t="s">
        <v>87</v>
      </c>
    </row>
    <row r="8" spans="1:6" x14ac:dyDescent="0.25">
      <c r="A8" t="s">
        <v>88</v>
      </c>
      <c r="B8" s="18">
        <v>525000000</v>
      </c>
      <c r="C8" s="18">
        <v>484000000</v>
      </c>
      <c r="D8" s="18">
        <v>477000000</v>
      </c>
      <c r="E8" s="18">
        <v>436000000</v>
      </c>
      <c r="F8" s="8" t="s">
        <v>89</v>
      </c>
    </row>
    <row r="9" spans="1:6" x14ac:dyDescent="0.25">
      <c r="A9" t="s">
        <v>90</v>
      </c>
      <c r="B9" s="18">
        <v>63000000</v>
      </c>
      <c r="C9" s="18">
        <v>146000000</v>
      </c>
      <c r="D9" s="18">
        <v>115000000</v>
      </c>
      <c r="E9" s="18">
        <v>74000000</v>
      </c>
      <c r="F9" s="8" t="s">
        <v>91</v>
      </c>
    </row>
    <row r="10" spans="1:6" x14ac:dyDescent="0.25">
      <c r="A10" t="s">
        <v>92</v>
      </c>
      <c r="B10" s="18">
        <v>7267000000</v>
      </c>
      <c r="C10" s="18">
        <v>6544000000</v>
      </c>
      <c r="D10" s="18">
        <v>6497000000</v>
      </c>
      <c r="E10" s="18">
        <v>6730000000</v>
      </c>
      <c r="F10" s="8" t="s">
        <v>93</v>
      </c>
    </row>
    <row r="11" spans="1:6" x14ac:dyDescent="0.25">
      <c r="A11" t="s">
        <v>94</v>
      </c>
      <c r="B11" s="18">
        <v>131000000</v>
      </c>
      <c r="C11" s="18">
        <v>119000000</v>
      </c>
      <c r="D11" s="18">
        <v>155000000</v>
      </c>
      <c r="E11" s="18">
        <v>334000000</v>
      </c>
      <c r="F11" s="8" t="s">
        <v>95</v>
      </c>
    </row>
    <row r="12" spans="1:6" x14ac:dyDescent="0.25">
      <c r="A12" t="s">
        <v>32</v>
      </c>
      <c r="B12" s="34">
        <v>1843500000</v>
      </c>
      <c r="C12" s="34">
        <v>1876700000</v>
      </c>
      <c r="D12" s="34">
        <v>1902800000</v>
      </c>
      <c r="E12" s="34">
        <v>1937800000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2026-09-19T00:06:41Z</dcterms:modified>
</cp:coreProperties>
</file>