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<sst xmlns="http://schemas.openxmlformats.org/spreadsheetml/2006/main" count="115" uniqueCount="103">
  <si>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Repsol, S.A. (REP.MC)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</si>
  <si>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</si>
  <si>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</si>
  <si>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</si>
  <si>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</si>
  <si>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</si>
  <si>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</si>
  <si>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</si>
  <si>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</si>
  <si>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</si>
  <si>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</si>
  <si>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</si>
  <si>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</si>
  <si>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</si>
  <si>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</si>
  <si>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</si>
  <si>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</si>
  <si>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</si>
  <si>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</si>
  <si>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Clamped from a reported -0.141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</si>
  <si>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</si>
  <si>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</si>
  <si>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</si>
  <si>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</si>
  <si>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</si>
  <si>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</si>
  <si>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</si>
  <si>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</si>
  <si>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</si>
  <si>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</si>
  <si>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</si>
  <si>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</si>
  <si>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</si>
  <si>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</si>
  <si>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</si>
  <si>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</si>
  <si>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</si>
  <si>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</si>
  <si>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</si>
  <si>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</si>
  <si>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</si>
  <si>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</si>
  <si>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</si>
  <si>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</si>
  <si>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</si>
  <si>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</si>
  <si>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</si>
  <si>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</si>
  <si>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</si>
  <si>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</si>
  <si>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</si>
  <si>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</si>
  <si>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</si>
  <si>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</si>
  <si>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</si>
  <si>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</si>
  <si>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</si>
  <si>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</si>
  <si>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</si>
  <si>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</si>
  <si>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</si>
  <si>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</si>
  <si>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</si>
  <si>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</si>
  <si>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</si>
  <si>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</si>
  <si>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</si>
  <si>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</si>
  <si>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</si>
  <si>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</si>
  <si>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</si>
  <si>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</si>
  <si>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</si>
  <si>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</si>
  <si>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</si>
  <si>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</si>
  <si>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</si>
  <si>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</si>
  <si>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</si>
  <si>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</si>
  <si>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</si>
  <si>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</si>
  <si>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</si>
  <si>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</si>
  <si>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</si>
  <si>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</si>
  <si>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</si>
  <si>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</si>
  <si>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</si>
  <si>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</si>
  <si>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</si>
  <si>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</si>
  <si>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</si>
  <si>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</si>
  <si>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</si>
  <si>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</si>
  <si>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</si>
  <si>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</si>
  <si>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</si>
  <si>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-0.141 is not usable in a cost of equity. Clamped to 0.30.</t>
  </si>
  <si>
    <t>Adjusted: Capital expenditure runs at 6.9%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</si>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</sst>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-0.09959244025566194</v>
      </c>
    </row>
    <row r="7" spans="1:2" x14ac:dyDescent="0.25">
      <c r="A7" t="s">
        <v>5</v>
      </c>
      <c r="B7" s="6">
        <v>0.07280288982737254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0.04205856979353887</v>
      </c>
    </row>
    <row r="10" spans="1:2" x14ac:dyDescent="0.25">
      <c r="A10" t="s">
        <v>8</v>
      </c>
      <c r="B10" s="6">
        <v>0.06936642567861569</v>
      </c>
    </row>
    <row r="11" spans="1:2" x14ac:dyDescent="0.25">
      <c r="A11" t="s">
        <v>9</v>
      </c>
      <c r="B11" s="6">
        <v>0.05418080839247146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7.408443320183303</v>
      </c>
    </row>
    <row r="14" spans="1:3" x14ac:dyDescent="0.25">
      <c r="A14" t="s">
        <v>12</v>
      </c>
      <c r="B14" s="6">
        <v>0.07532376364516823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0.0615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31598977024</v>
      </c>
    </row>
    <row r="23" spans="1:2" x14ac:dyDescent="0.25">
      <c r="A23" t="s">
        <v>24</v>
      </c>
      <c r="B23" s="11">
        <v>13238000000</v>
      </c>
    </row>
    <row r="24" spans="1:2" x14ac:dyDescent="0.25">
      <c r="A24" t="s">
        <v>25</v>
      </c>
      <c r="B24" s="10">
        <f>B22/(B22+B23)</f>
        <v>0.7047526198540535</v>
      </c>
    </row>
    <row r="25" spans="1:2" x14ac:dyDescent="0.25">
      <c r="A25" t="s">
        <v>26</v>
      </c>
      <c r="B25" s="10">
        <f>1-B24</f>
        <v>0.29524738014594654</v>
      </c>
    </row>
    <row r="26" spans="1:2" x14ac:dyDescent="0.25">
      <c r="A26" t="s">
        <v>27</v>
      </c>
      <c r="B26" s="12">
        <f>B24*B20+B25*B21*(1-B8)</f>
        <v>0.0526425785956216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54861000000</v>
      </c>
      <c r="C29" s="8" t="s">
        <v>30</v>
      </c>
    </row>
    <row r="30" spans="1:2" x14ac:dyDescent="0.25">
      <c r="A30" t="s">
        <v>31</v>
      </c>
      <c r="B30" s="11">
        <v>5584000000</v>
      </c>
    </row>
    <row r="31" spans="1:2" x14ac:dyDescent="0.25">
      <c r="A31" t="s">
        <v>32</v>
      </c>
      <c r="B31" s="13">
        <v>1132000000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-0.09959244025566194</v>
      </c>
      <c r="C5" s="10">
        <f>Assumptions!B6</f>
        <v>-0.09959244025566194</v>
      </c>
      <c r="D5" s="10">
        <f>Assumptions!B6</f>
        <v>-0.09959244025566194</v>
      </c>
      <c r="E5" s="10">
        <f>Assumptions!B6</f>
        <v>-0.09959244025566194</v>
      </c>
      <c r="F5" s="10">
        <f>Assumptions!B6</f>
        <v>-0.09959244025566194</v>
      </c>
    </row>
    <row r="6" spans="1:6" x14ac:dyDescent="0.25">
      <c r="A6" t="s">
        <v>43</v>
      </c>
      <c r="B6" s="18">
        <f>Assumptions!B29*(1+B5)</f>
        <v>49397259135.13413</v>
      </c>
      <c r="C6" s="18">
        <f>B6*(1+C5)</f>
        <v>44477665555.924835</v>
      </c>
      <c r="D6" s="18">
        <f>C6*(1+D5)</f>
        <v>40048026306.335075</v>
      </c>
      <c r="E6" s="18">
        <f>D6*(1+E5)</f>
        <v>36059545639.064224</v>
      </c>
      <c r="F6" s="18">
        <f>E6*(1+F5)</f>
        <v>32468287494.359406</v>
      </c>
    </row>
    <row r="7" spans="1:6" x14ac:dyDescent="0.25">
      <c r="A7" t="s">
        <v>5</v>
      </c>
      <c r="B7" s="10">
        <f>Assumptions!B7</f>
        <v>0.07280288982737254</v>
      </c>
      <c r="C7" s="10">
        <f>Assumptions!B7</f>
        <v>0.07280288982737254</v>
      </c>
      <c r="D7" s="10">
        <f>Assumptions!B7</f>
        <v>0.07280288982737254</v>
      </c>
      <c r="E7" s="10">
        <f>Assumptions!B7</f>
        <v>0.07280288982737254</v>
      </c>
      <c r="F7" s="10">
        <f>Assumptions!B7</f>
        <v>0.07280288982737254</v>
      </c>
    </row>
    <row r="8" spans="1:6" x14ac:dyDescent="0.25">
      <c r="A8" t="s">
        <v>44</v>
      </c>
      <c r="B8" s="18">
        <f>B6*B7</f>
        <v>3596263214.589342</v>
      </c>
      <c r="C8" s="18">
        <f>C6*C7</f>
        <v>3238102585.2467184</v>
      </c>
      <c r="D8" s="18">
        <f>D6*D7</f>
        <v>2915612046.98383</v>
      </c>
      <c r="E8" s="18">
        <f>E6*E7</f>
        <v>2625239128.385905</v>
      </c>
      <c r="F8" s="18">
        <f>F6*F7</f>
        <v>2363785157.3353057</v>
      </c>
    </row>
    <row r="9" spans="1:6" x14ac:dyDescent="0.25">
      <c r="A9" t="s">
        <v>45</v>
      </c>
      <c r="B9" s="18">
        <f>B8*(1-Assumptions!B8)</f>
        <v>2697197410.9420066</v>
      </c>
      <c r="C9" s="18">
        <f>C8*(1-Assumptions!B8)</f>
        <v>2428576938.9350386</v>
      </c>
      <c r="D9" s="18">
        <f>D8*(1-Assumptions!B8)</f>
        <v>2186709035.2378726</v>
      </c>
      <c r="E9" s="18">
        <f>E8*(1-Assumptions!B8)</f>
        <v>1968929346.2894287</v>
      </c>
      <c r="F9" s="18">
        <f>F8*(1-Assumptions!B8)</f>
        <v>1772838868.0014791</v>
      </c>
    </row>
    <row r="10" spans="1:6" x14ac:dyDescent="0.25">
      <c r="A10" t="s">
        <v>46</v>
      </c>
      <c r="B10" s="18">
        <f>B6*Assumptions!B9</f>
        <v>2077578070.9445643</v>
      </c>
      <c r="C10" s="18">
        <f>C6*Assumptions!B9</f>
        <v>1870667001.0375445</v>
      </c>
      <c r="D10" s="18">
        <f>D6*Assumptions!B9</f>
        <v>1684362709.4984744</v>
      </c>
      <c r="E10" s="18">
        <f>E6*Assumptions!B9</f>
        <v>1516612916.983883</v>
      </c>
      <c r="F10" s="18">
        <f>F6*Assumptions!B9</f>
        <v>1365569735.6582003</v>
      </c>
    </row>
    <row r="11" spans="1:6" x14ac:dyDescent="0.25">
      <c r="A11" t="s">
        <v>47</v>
      </c>
      <c r="B11" s="18">
        <f>-B6*Assumptions!B10</f>
        <v>-3426511304.5246015</v>
      </c>
      <c r="C11" s="18">
        <f>-C6*Assumptions!B10</f>
        <v>-3085256682.143385</v>
      </c>
      <c r="D11" s="18">
        <f>-D6*Assumptions!B10</f>
        <v>-2777988440.3536377</v>
      </c>
      <c r="E11" s="18">
        <f>-E6*Assumptions!B10</f>
        <v>-2501321792.576799</v>
      </c>
      <c r="F11" s="18">
        <f>-F6*Assumptions!B10</f>
        <v>-2252209051.389409</v>
      </c>
    </row>
    <row r="12" spans="1:6" x14ac:dyDescent="0.25">
      <c r="A12" t="s">
        <v>48</v>
      </c>
      <c r="B12" s="18">
        <f>-(B6-Assumptions!B29)*Assumptions!B11</f>
        <v>296029896.90541387</v>
      </c>
      <c r="C12" s="18">
        <f>-(C6-B6)*Assumptions!B11</f>
        <v>266547557.0839718</v>
      </c>
      <c r="D12" s="18">
        <f>-(D6-C6)*Assumptions!B11</f>
        <v>240001435.42979383</v>
      </c>
      <c r="E12" s="18">
        <f>-(E6-D6)*Assumptions!B11</f>
        <v>216099106.81047872</v>
      </c>
      <c r="F12" s="18">
        <f>-(F6-E6)*Assumptions!B11</f>
        <v>194577269.42615435</v>
      </c>
    </row>
    <row r="13" spans="1:6" x14ac:dyDescent="0.25">
      <c r="A13" s="19" t="s">
        <v>49</v>
      </c>
      <c r="B13" s="20">
        <f>B9+B10+B11+B12</f>
        <v>1644294074.2673833</v>
      </c>
      <c r="C13" s="20">
        <f>C9+C10+C11+C12</f>
        <v>1480534814.9131696</v>
      </c>
      <c r="D13" s="20">
        <f>D9+D10+D11+D12</f>
        <v>1333084739.8125033</v>
      </c>
      <c r="E13" s="20">
        <f>E9+E10+E11+E12</f>
        <v>1200319577.5069914</v>
      </c>
      <c r="F13" s="20">
        <f>F9+F10+F11+F12</f>
        <v>1080776821.6964247</v>
      </c>
    </row>
    <row r="14" spans="1:6" x14ac:dyDescent="0.25">
      <c r="A14" t="s">
        <v>50</v>
      </c>
      <c r="B14" s="21">
        <f>1/(1+Assumptions!$B$26)^(1-0.5*Assumptions!$B$32)</f>
        <v>0.9746743419836116</v>
      </c>
      <c r="C14" s="21">
        <f>1/(1+Assumptions!$B$26)^(2-0.5*Assumptions!$B$32)</f>
        <v>0.9259309492154201</v>
      </c>
      <c r="D14" s="21">
        <f>1/(1+Assumptions!$B$26)^(3-0.5*Assumptions!$B$32)</f>
        <v>0.87962520996514</v>
      </c>
      <c r="E14" s="21">
        <f>1/(1+Assumptions!$B$26)^(4-0.5*Assumptions!$B$32)</f>
        <v>0.8356352173580969</v>
      </c>
      <c r="F14" s="21">
        <f>1/(1+Assumptions!$B$26)^(5-0.5*Assumptions!$B$32)</f>
        <v>0.7938451610735296</v>
      </c>
    </row>
    <row r="15" spans="1:6" x14ac:dyDescent="0.25">
      <c r="A15" s="19" t="s">
        <v>51</v>
      </c>
      <c r="B15" s="20">
        <f>B13*B14</f>
        <v>1602651244.8641136</v>
      </c>
      <c r="C15" s="20">
        <f>C13*C14</f>
        <v>1370873006.5190275</v>
      </c>
      <c r="D15" s="20">
        <f>D13*D14</f>
        <v>1172614944.1588974</v>
      </c>
      <c r="E15" s="20">
        <f>E13*E14</f>
        <v>1003029311.0492338</v>
      </c>
      <c r="F15" s="20">
        <f>F13*F14</f>
        <v>857969450.1041358</v>
      </c>
    </row>
    <row r="17" spans="1:2" x14ac:dyDescent="0.25">
      <c r="A17" s="22" t="s">
        <v>52</v>
      </c>
      <c r="B17" s="23">
        <f>SUM(B15:F15)</f>
        <v>6007137956.695408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1080776821.6964247</v>
      </c>
    </row>
    <row r="5" spans="1:2" x14ac:dyDescent="0.25">
      <c r="A5" t="s">
        <v>56</v>
      </c>
      <c r="B5" s="18">
        <f>IF(Assumptions!$B$33=0,B4,B4-Forecast!F11-Forecast!F10-Forecast!F12)</f>
        <v>1772838868.0014791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0.3319005688267101</v>
      </c>
    </row>
    <row r="7" spans="1:2" x14ac:dyDescent="0.25">
      <c r="A7" t="s">
        <v>58</v>
      </c>
      <c r="B7" s="18">
        <f>-MAX(Forecast!F9,0)*B6</f>
        <v>-588406228.7277918</v>
      </c>
    </row>
    <row r="8" spans="1:2" x14ac:dyDescent="0.25">
      <c r="A8" t="s">
        <v>59</v>
      </c>
      <c r="B8" s="18">
        <f>IF(OR(Assumptions!$B$33=0,Assumptions!B12&lt;=0),B5,MAX(B5+B7,0))</f>
        <v>1184432639.2736874</v>
      </c>
    </row>
    <row r="9" spans="1:2" x14ac:dyDescent="0.25">
      <c r="A9" t="s">
        <v>60</v>
      </c>
      <c r="B9" s="18">
        <f>B8*(1+Assumptions!B12)/(Assumptions!B26-Assumptions!B12)</f>
        <v>43919327245.67981</v>
      </c>
    </row>
    <row r="10" spans="1:2" x14ac:dyDescent="0.25">
      <c r="A10" t="s">
        <v>61</v>
      </c>
      <c r="B10" s="18">
        <f>B9/(1+Assumptions!B26)^(5-0.5*Assumptions!B32)</f>
        <v>34865145411.587746</v>
      </c>
    </row>
    <row r="11" spans="1:2" x14ac:dyDescent="0.25">
      <c r="A11" t="s">
        <v>62</v>
      </c>
      <c r="B11" s="18">
        <f>Forecast!B17+B10</f>
        <v>40872283368.28316</v>
      </c>
    </row>
    <row r="12" spans="1:2" x14ac:dyDescent="0.25">
      <c r="A12" t="s">
        <v>63</v>
      </c>
      <c r="B12" s="18">
        <f>-Assumptions!B30</f>
        <v>-5584000000</v>
      </c>
    </row>
    <row r="13" spans="1:2" x14ac:dyDescent="0.25">
      <c r="A13" t="s">
        <v>64</v>
      </c>
      <c r="B13" s="18">
        <f>B11+B12</f>
        <v>35288283368.28316</v>
      </c>
    </row>
    <row r="14" spans="1:2" x14ac:dyDescent="0.25">
      <c r="A14" s="19" t="s">
        <v>65</v>
      </c>
      <c r="B14" s="24">
        <f>B13/Assumptions!B31</f>
        <v>31.173395201663567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3729354892.993506</v>
      </c>
    </row>
    <row r="18" spans="1:2" x14ac:dyDescent="0.25">
      <c r="A18" t="s">
        <v>60</v>
      </c>
      <c r="B18" s="18">
        <f>B17*Assumptions!B13</f>
        <v>27628714345.590656</v>
      </c>
    </row>
    <row r="19" spans="1:2" x14ac:dyDescent="0.25">
      <c r="A19" t="s">
        <v>61</v>
      </c>
      <c r="B19" s="18">
        <f>B18/(1+Assumptions!B26)^(5-0.5*Assumptions!B32)</f>
        <v>21932921189.929955</v>
      </c>
    </row>
    <row r="20" spans="1:2" x14ac:dyDescent="0.25">
      <c r="A20" t="s">
        <v>62</v>
      </c>
      <c r="B20" s="18">
        <f>Forecast!B17+B19</f>
        <v>27940059146.625362</v>
      </c>
    </row>
    <row r="21" spans="1:2" x14ac:dyDescent="0.25">
      <c r="A21" t="s">
        <v>63</v>
      </c>
      <c r="B21" s="18">
        <f>-Assumptions!B30</f>
        <v>-5584000000</v>
      </c>
    </row>
    <row r="22" spans="1:2" x14ac:dyDescent="0.25">
      <c r="A22" t="s">
        <v>64</v>
      </c>
      <c r="B22" s="18">
        <f>B20+B21</f>
        <v>22356059146.625362</v>
      </c>
    </row>
    <row r="23" spans="1:2" x14ac:dyDescent="0.25">
      <c r="A23" s="19" t="s">
        <v>65</v>
      </c>
      <c r="B23" s="25">
        <f>B22/Assumptions!B31</f>
        <v>19.7491688574429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31.173395201663567</v>
      </c>
    </row>
    <row r="29" spans="1:2" x14ac:dyDescent="0.25">
      <c r="A29" s="19" t="s">
        <v>73</v>
      </c>
      <c r="B29" s="12">
        <f>B28/B26-1</f>
        <v>0.052799567769793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0.032643</v>
      </c>
      <c r="B5" s="31">
        <v>63.04843518688183</v>
      </c>
      <c r="C5" s="31">
        <v>80.91483962965611</v>
      </c>
      <c r="D5" s="31">
        <v>122.03969899518995</v>
      </c>
      <c r="E5" s="31">
        <v>318.4233249904043</v>
      </c>
      <c r="F5" s="31" t="s">
        <v>76</v>
      </c>
    </row>
    <row r="6" spans="1:6" x14ac:dyDescent="0.25">
      <c r="A6" s="30">
        <v>0.042643</v>
      </c>
      <c r="B6" s="31">
        <v>38.650052476668115</v>
      </c>
      <c r="C6" s="31">
        <v>43.42605392312766</v>
      </c>
      <c r="D6" s="31">
        <v>50.86024977960976</v>
      </c>
      <c r="E6" s="31">
        <v>64.10639438846493</v>
      </c>
      <c r="F6" s="31">
        <v>94.57090293817899</v>
      </c>
    </row>
    <row r="7" spans="1:6" x14ac:dyDescent="0.25">
      <c r="A7" s="30">
        <v>0.052643</v>
      </c>
      <c r="B7" s="31">
        <v>27.220812328519553</v>
      </c>
      <c r="C7" s="31">
        <v>28.906807434311467</v>
      </c>
      <c r="D7" s="32">
        <v>31.17286553810582</v>
      </c>
      <c r="E7" s="31">
        <v>34.40325307853866</v>
      </c>
      <c r="F7" s="31">
        <v>39.41783864652861</v>
      </c>
    </row>
    <row r="8" spans="1:6" x14ac:dyDescent="0.25">
      <c r="A8" s="30">
        <v>0.062643</v>
      </c>
      <c r="B8" s="31">
        <v>20.593837099935875</v>
      </c>
      <c r="C8" s="31">
        <v>21.197496480585915</v>
      </c>
      <c r="D8" s="31">
        <v>21.94050981964511</v>
      </c>
      <c r="E8" s="31">
        <v>22.886912572682423</v>
      </c>
      <c r="F8" s="31">
        <v>24.14707051800236</v>
      </c>
    </row>
    <row r="9" spans="1:6" x14ac:dyDescent="0.25">
      <c r="A9" s="30">
        <v>0.072643</v>
      </c>
      <c r="B9" s="31">
        <v>16.269489186321465</v>
      </c>
      <c r="C9" s="31">
        <v>16.417166198874906</v>
      </c>
      <c r="D9" s="31">
        <v>16.57992454822284</v>
      </c>
      <c r="E9" s="31">
        <v>16.763069209435454</v>
      </c>
      <c r="F9" s="31">
        <v>16.974723729466223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54861000000</v>
      </c>
      <c r="C5" s="18">
        <v>57122000000</v>
      </c>
      <c r="D5" s="18">
        <v>58948000000</v>
      </c>
      <c r="E5" s="18">
        <v>75153000000</v>
      </c>
      <c r="F5" s="8" t="s">
        <v>85</v>
      </c>
    </row>
    <row r="6" spans="1:6" x14ac:dyDescent="0.25">
      <c r="A6" t="s">
        <v>44</v>
      </c>
      <c r="B6" s="18">
        <v>2580000000</v>
      </c>
      <c r="C6" s="18">
        <v>2607000000</v>
      </c>
      <c r="D6" s="18">
        <v>4275000000</v>
      </c>
      <c r="E6" s="18">
        <v>9471000000</v>
      </c>
      <c r="F6" s="8" t="s">
        <v>86</v>
      </c>
    </row>
    <row r="7" spans="1:6" x14ac:dyDescent="0.25">
      <c r="A7" t="s">
        <v>87</v>
      </c>
      <c r="B7" s="18">
        <v>2439000000</v>
      </c>
      <c r="C7" s="18">
        <v>2932000000</v>
      </c>
      <c r="D7" s="18">
        <v>2436000000</v>
      </c>
      <c r="E7" s="18">
        <v>2339000000</v>
      </c>
      <c r="F7" s="8" t="s">
        <v>88</v>
      </c>
    </row>
    <row r="8" spans="1:6" x14ac:dyDescent="0.25">
      <c r="A8" t="s">
        <v>89</v>
      </c>
      <c r="B8" s="18">
        <v>3746000000</v>
      </c>
      <c r="C8" s="18">
        <v>5106000000</v>
      </c>
      <c r="D8" s="18">
        <v>4289000000</v>
      </c>
      <c r="E8" s="18">
        <v>3535000000</v>
      </c>
      <c r="F8" s="8" t="s">
        <v>90</v>
      </c>
    </row>
    <row r="9" spans="1:6" x14ac:dyDescent="0.25">
      <c r="A9" t="s">
        <v>91</v>
      </c>
      <c r="B9" s="18">
        <v>-607000000</v>
      </c>
      <c r="C9" s="18">
        <v>8000000</v>
      </c>
      <c r="D9" s="18">
        <v>-878000000</v>
      </c>
      <c r="E9" s="18">
        <v>1375000000</v>
      </c>
      <c r="F9" s="8" t="s">
        <v>92</v>
      </c>
    </row>
    <row r="10" spans="1:6" x14ac:dyDescent="0.25">
      <c r="A10" t="s">
        <v>93</v>
      </c>
      <c r="B10" s="18">
        <v>13238000000</v>
      </c>
      <c r="C10" s="18">
        <v>12185000000</v>
      </c>
      <c r="D10" s="18">
        <v>10562000000</v>
      </c>
      <c r="E10" s="18">
        <v>13359000000</v>
      </c>
      <c r="F10" s="8" t="s">
        <v>94</v>
      </c>
    </row>
    <row r="11" spans="1:6" x14ac:dyDescent="0.25">
      <c r="A11" t="s">
        <v>95</v>
      </c>
      <c r="B11" s="18">
        <v>7654000000</v>
      </c>
      <c r="C11" s="18">
        <v>6428000000</v>
      </c>
      <c r="D11" s="18">
        <v>8432000000</v>
      </c>
      <c r="E11" s="18">
        <v>9007000000</v>
      </c>
      <c r="F11" s="8" t="s">
        <v>96</v>
      </c>
    </row>
    <row r="12" spans="1:6" x14ac:dyDescent="0.25">
      <c r="A12" t="s">
        <v>32</v>
      </c>
      <c r="B12" s="34">
        <v>1132000000</v>
      </c>
      <c r="C12" s="34">
        <v>1183000000</v>
      </c>
      <c r="D12" s="34">
        <v>1264000000</v>
      </c>
      <c r="E12" s="34">
        <v>1414000000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