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<sst xmlns="http://schemas.openxmlformats.org/spreadsheetml/2006/main" count="114" uniqueCount="100">
  <si>
    <t>Region Group (RGN.AX)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</si>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</sst>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0.022229462182910442</v>
      </c>
    </row>
    <row r="7" spans="1:2" x14ac:dyDescent="0.25">
      <c r="A7" t="s">
        <v>5</v>
      </c>
      <c r="B7" s="6">
        <v>0.5728252800761424</v>
      </c>
    </row>
    <row r="8" spans="1:2" x14ac:dyDescent="0.25">
      <c r="A8" t="s">
        <v>6</v>
      </c>
      <c r="B8" s="6">
        <v>0.002967359050445104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0.616822429906542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18.92159652173913</v>
      </c>
    </row>
    <row r="14" spans="1:3" x14ac:dyDescent="0.25">
      <c r="A14" t="s">
        <v>12</v>
      </c>
      <c r="B14" s="6">
        <v>0.13547071007801248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0.7360199999999999</v>
      </c>
      <c r="C19" s="8" t="s">
        <v>19</v>
      </c>
    </row>
    <row r="20" spans="1:2" x14ac:dyDescent="0.25">
      <c r="A20" t="s">
        <v>20</v>
      </c>
      <c r="B20" s="10">
        <f>B17+B19*B18</f>
        <v>0.09764119999999998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2562688512</v>
      </c>
    </row>
    <row r="23" spans="1:2" x14ac:dyDescent="0.25">
      <c r="A23" t="s">
        <v>24</v>
      </c>
      <c r="B23" s="11">
        <v>1630800000</v>
      </c>
    </row>
    <row r="24" spans="1:2" x14ac:dyDescent="0.25">
      <c r="A24" t="s">
        <v>25</v>
      </c>
      <c r="B24" s="10">
        <f>B22/(B22+B23)</f>
        <v>0.6111113705609693</v>
      </c>
    </row>
    <row r="25" spans="1:2" x14ac:dyDescent="0.25">
      <c r="A25" t="s">
        <v>26</v>
      </c>
      <c r="B25" s="10">
        <f>1-B24</f>
        <v>0.3888886294390307</v>
      </c>
    </row>
    <row r="26" spans="1:2" x14ac:dyDescent="0.25">
      <c r="A26" t="s">
        <v>27</v>
      </c>
      <c r="B26" s="12">
        <f>B24*B20+B25*B21*(1-B8)</f>
        <v>0.08040569702467226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390100000</v>
      </c>
      <c r="C29" s="8" t="s">
        <v>30</v>
      </c>
    </row>
    <row r="30" spans="1:2" x14ac:dyDescent="0.25">
      <c r="A30" t="s">
        <v>31</v>
      </c>
      <c r="B30" s="11">
        <v>1615200000</v>
      </c>
    </row>
    <row r="31" spans="1:2" x14ac:dyDescent="0.25">
      <c r="A31" t="s">
        <v>32</v>
      </c>
      <c r="B31" s="13">
        <v>1163636364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0.022229462182910442</v>
      </c>
      <c r="C5" s="10">
        <f>Assumptions!B6</f>
        <v>0.022229462182910442</v>
      </c>
      <c r="D5" s="10">
        <f>Assumptions!B6</f>
        <v>0.022229462182910442</v>
      </c>
      <c r="E5" s="10">
        <f>Assumptions!B6</f>
        <v>0.022229462182910442</v>
      </c>
      <c r="F5" s="10">
        <f>Assumptions!B6</f>
        <v>0.022229462182910442</v>
      </c>
    </row>
    <row r="6" spans="1:6" x14ac:dyDescent="0.25">
      <c r="A6" t="s">
        <v>43</v>
      </c>
      <c r="B6" s="18">
        <f>Assumptions!B29*(1+B5)</f>
        <v>398771713.19755334</v>
      </c>
      <c r="C6" s="18">
        <f>B6*(1+C5)</f>
        <v>407636193.91569275</v>
      </c>
      <c r="D6" s="18">
        <f>C6*(1+D5)</f>
        <v>416697727.2727272</v>
      </c>
      <c r="E6" s="18">
        <f>D6*(1+E5)</f>
        <v>425960693.642841</v>
      </c>
      <c r="F6" s="18">
        <f>E6*(1+F5)</f>
        <v>435429570.7735808</v>
      </c>
    </row>
    <row r="7" spans="1:6" x14ac:dyDescent="0.25">
      <c r="A7" t="s">
        <v>5</v>
      </c>
      <c r="B7" s="10">
        <f>Assumptions!B7</f>
        <v>0.5728252800761424</v>
      </c>
      <c r="C7" s="10">
        <f>Assumptions!B7</f>
        <v>0.5728252800761424</v>
      </c>
      <c r="D7" s="10">
        <f>Assumptions!B7</f>
        <v>0.5728252800761424</v>
      </c>
      <c r="E7" s="10">
        <f>Assumptions!B7</f>
        <v>0.5728252800761424</v>
      </c>
      <c r="F7" s="10">
        <f>Assumptions!B7</f>
        <v>0.5728252800761424</v>
      </c>
    </row>
    <row r="8" spans="1:6" x14ac:dyDescent="0.25">
      <c r="A8" t="s">
        <v>44</v>
      </c>
      <c r="B8" s="18">
        <f>B6*B7</f>
        <v>228426518.29883164</v>
      </c>
      <c r="C8" s="18">
        <f>C6*C7</f>
        <v>233504316.9489294</v>
      </c>
      <c r="D8" s="18">
        <f>D6*D7</f>
        <v>238694992.33209196</v>
      </c>
      <c r="E8" s="18">
        <f>E6*E7</f>
        <v>244001053.6373883</v>
      </c>
      <c r="F8" s="18">
        <f>F6*F7</f>
        <v>249425065.8318109</v>
      </c>
    </row>
    <row r="9" spans="1:6" x14ac:dyDescent="0.25">
      <c r="A9" t="s">
        <v>45</v>
      </c>
      <c r="B9" s="18">
        <f>B8*(1-Assumptions!B8)</f>
        <v>227748694.80239594</v>
      </c>
      <c r="C9" s="18">
        <f>C8*(1-Assumptions!B8)</f>
        <v>232811425.800713</v>
      </c>
      <c r="D9" s="18">
        <f>D8*(1-Assumptions!B8)</f>
        <v>237986698.5862994</v>
      </c>
      <c r="E9" s="18">
        <f>E8*(1-Assumptions!B8)</f>
        <v>243277014.90255925</v>
      </c>
      <c r="F9" s="18">
        <f>F8*(1-Assumptions!B8)</f>
        <v>248684932.105307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-3987717.1319755334</v>
      </c>
      <c r="C11" s="18">
        <f>-C6*Assumptions!B10</f>
        <v>-4076361.9391569276</v>
      </c>
      <c r="D11" s="18">
        <f>-D6*Assumptions!B10</f>
        <v>-4166977.272727272</v>
      </c>
      <c r="E11" s="18">
        <f>-E6*Assumptions!B10</f>
        <v>-4259606.93642841</v>
      </c>
      <c r="F11" s="18">
        <f>-F6*Assumptions!B10</f>
        <v>-4354295.707735808</v>
      </c>
    </row>
    <row r="12" spans="1:6" x14ac:dyDescent="0.25">
      <c r="A12" t="s">
        <v>48</v>
      </c>
      <c r="B12" s="18">
        <f>-(B6-Assumptions!B29)*Assumptions!B11</f>
        <v>-5348907.205967478</v>
      </c>
      <c r="C12" s="18">
        <f>-(C6-B6)*Assumptions!B11</f>
        <v>-5467810.53642244</v>
      </c>
      <c r="D12" s="18">
        <f>-(D6-C6)*Assumptions!B11</f>
        <v>-5589357.023965172</v>
      </c>
      <c r="E12" s="18">
        <f>-(E6-D6)*Assumptions!B11</f>
        <v>-5713605.424556169</v>
      </c>
      <c r="F12" s="18">
        <f>-(F6-E6)*Assumptions!B11</f>
        <v>-5840615.800269414</v>
      </c>
    </row>
    <row r="13" spans="1:6" x14ac:dyDescent="0.25">
      <c r="A13" s="19" t="s">
        <v>49</v>
      </c>
      <c r="B13" s="20">
        <f>B9+B10+B11+B12</f>
        <v>218412070.46445292</v>
      </c>
      <c r="C13" s="20">
        <f>C9+C10+C11+C12</f>
        <v>223267253.32513365</v>
      </c>
      <c r="D13" s="20">
        <f>D9+D10+D11+D12</f>
        <v>228230364.28960693</v>
      </c>
      <c r="E13" s="20">
        <f>E9+E10+E11+E12</f>
        <v>233303802.5415747</v>
      </c>
      <c r="F13" s="20">
        <f>F9+F10+F11+F12</f>
        <v>238490020.59730178</v>
      </c>
    </row>
    <row r="14" spans="1:6" x14ac:dyDescent="0.25">
      <c r="A14" t="s">
        <v>50</v>
      </c>
      <c r="B14" s="21">
        <f>1/(1+Assumptions!$B$26)^(1-0.5*Assumptions!$B$32)</f>
        <v>0.9620697670778559</v>
      </c>
      <c r="C14" s="21">
        <f>1/(1+Assumptions!$B$26)^(2-0.5*Assumptions!$B$32)</f>
        <v>0.8904708386185842</v>
      </c>
      <c r="D14" s="21">
        <f>1/(1+Assumptions!$B$26)^(3-0.5*Assumptions!$B$32)</f>
        <v>0.8242004286638349</v>
      </c>
      <c r="E14" s="21">
        <f>1/(1+Assumptions!$B$26)^(4-0.5*Assumptions!$B$32)</f>
        <v>0.7628619794708592</v>
      </c>
      <c r="F14" s="21">
        <f>1/(1+Assumptions!$B$26)^(5-0.5*Assumptions!$B$32)</f>
        <v>0.706088445823364</v>
      </c>
    </row>
    <row r="15" spans="1:6" x14ac:dyDescent="0.25">
      <c r="A15" s="19" t="s">
        <v>51</v>
      </c>
      <c r="B15" s="20">
        <f>B13*B14</f>
        <v>210127649.75872847</v>
      </c>
      <c r="C15" s="20">
        <f>C13*C14</f>
        <v>198812978.30449966</v>
      </c>
      <c r="D15" s="20">
        <f>D13*D14</f>
        <v>188107564.08159724</v>
      </c>
      <c r="E15" s="20">
        <f>E13*E14</f>
        <v>177978600.62494415</v>
      </c>
      <c r="F15" s="20">
        <f>F13*F14</f>
        <v>168395047.9879309</v>
      </c>
    </row>
    <row r="17" spans="1:2" x14ac:dyDescent="0.25">
      <c r="A17" s="22" t="s">
        <v>52</v>
      </c>
      <c r="B17" s="23">
        <f>SUM(B15:F15)</f>
        <v>943421840.7577003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238490020.59730178</v>
      </c>
    </row>
    <row r="5" spans="1:2" x14ac:dyDescent="0.25">
      <c r="A5" t="s">
        <v>56</v>
      </c>
      <c r="B5" s="18">
        <f>IF(Assumptions!$B$33=0,B4,B4-Forecast!F11-Forecast!F10-Forecast!F12)</f>
        <v>248684932.105307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0.18454173588965056</v>
      </c>
    </row>
    <row r="7" spans="1:2" x14ac:dyDescent="0.25">
      <c r="A7" t="s">
        <v>58</v>
      </c>
      <c r="B7" s="18">
        <f>-MAX(Forecast!F9,0)*B6</f>
        <v>-45892749.06031325</v>
      </c>
    </row>
    <row r="8" spans="1:2" x14ac:dyDescent="0.25">
      <c r="A8" t="s">
        <v>59</v>
      </c>
      <c r="B8" s="18">
        <f>IF(OR(Assumptions!$B$33=0,Assumptions!B12&lt;=0),B5,MAX(B5+B7,0))</f>
        <v>202792183.04499376</v>
      </c>
    </row>
    <row r="9" spans="1:2" x14ac:dyDescent="0.25">
      <c r="A9" t="s">
        <v>60</v>
      </c>
      <c r="B9" s="18">
        <f>B8*(1+Assumptions!B12)/(Assumptions!B26-Assumptions!B12)</f>
        <v>3751635640.077901</v>
      </c>
    </row>
    <row r="10" spans="1:2" x14ac:dyDescent="0.25">
      <c r="A10" t="s">
        <v>61</v>
      </c>
      <c r="B10" s="18">
        <f>B9/(1+Assumptions!B26)^(5-0.5*Assumptions!B32)</f>
        <v>2648986578.3981466</v>
      </c>
    </row>
    <row r="11" spans="1:2" x14ac:dyDescent="0.25">
      <c r="A11" t="s">
        <v>62</v>
      </c>
      <c r="B11" s="18">
        <f>Forecast!B17+B10</f>
        <v>3592408419.155847</v>
      </c>
    </row>
    <row r="12" spans="1:2" x14ac:dyDescent="0.25">
      <c r="A12" t="s">
        <v>63</v>
      </c>
      <c r="B12" s="18">
        <f>-Assumptions!B30</f>
        <v>-1615200000</v>
      </c>
    </row>
    <row r="13" spans="1:2" x14ac:dyDescent="0.25">
      <c r="A13" t="s">
        <v>64</v>
      </c>
      <c r="B13" s="18">
        <f>B11+B12</f>
        <v>1977208419.155847</v>
      </c>
    </row>
    <row r="14" spans="1:2" x14ac:dyDescent="0.25">
      <c r="A14" s="19" t="s">
        <v>65</v>
      </c>
      <c r="B14" s="24">
        <f>B13/Assumptions!B31</f>
        <v>1.6991634846810675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249425065.8318109</v>
      </c>
    </row>
    <row r="18" spans="1:2" x14ac:dyDescent="0.25">
      <c r="A18" t="s">
        <v>60</v>
      </c>
      <c r="B18" s="18">
        <f>B17*Assumptions!B13</f>
        <v>4719520458.077746</v>
      </c>
    </row>
    <row r="19" spans="1:2" x14ac:dyDescent="0.25">
      <c r="A19" t="s">
        <v>61</v>
      </c>
      <c r="B19" s="18">
        <f>B18/(1+Assumptions!B26)^(5-0.5*Assumptions!B32)</f>
        <v>3332398865.275687</v>
      </c>
    </row>
    <row r="20" spans="1:2" x14ac:dyDescent="0.25">
      <c r="A20" t="s">
        <v>62</v>
      </c>
      <c r="B20" s="18">
        <f>Forecast!B17+B19</f>
        <v>4275820706.0333877</v>
      </c>
    </row>
    <row r="21" spans="1:2" x14ac:dyDescent="0.25">
      <c r="A21" t="s">
        <v>63</v>
      </c>
      <c r="B21" s="18">
        <f>-Assumptions!B30</f>
        <v>-1615200000</v>
      </c>
    </row>
    <row r="22" spans="1:2" x14ac:dyDescent="0.25">
      <c r="A22" t="s">
        <v>64</v>
      </c>
      <c r="B22" s="18">
        <f>B20+B21</f>
        <v>2660620706.0333877</v>
      </c>
    </row>
    <row r="23" spans="1:2" x14ac:dyDescent="0.25">
      <c r="A23" s="19" t="s">
        <v>65</v>
      </c>
      <c r="B23" s="25">
        <f>B22/Assumptions!B31</f>
        <v>2.2864709185329204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1.6991634846810675</v>
      </c>
    </row>
    <row r="29" spans="1:2" x14ac:dyDescent="0.25">
      <c r="A29" s="19" t="s">
        <v>73</v>
      </c>
      <c r="B29" s="12">
        <f>B28/B26-1</f>
        <v>-0.23804328041207734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0.060406</v>
      </c>
      <c r="B5" s="31">
        <v>2.722846569277112</v>
      </c>
      <c r="C5" s="31">
        <v>2.99173820169997</v>
      </c>
      <c r="D5" s="31">
        <v>3.3348640301507966</v>
      </c>
      <c r="E5" s="31">
        <v>3.7888455418498697</v>
      </c>
      <c r="F5" s="31">
        <v>4.419133230724747</v>
      </c>
    </row>
    <row r="6" spans="1:6" x14ac:dyDescent="0.25">
      <c r="A6" s="30">
        <v>0.070406</v>
      </c>
      <c r="B6" s="31">
        <v>2.00433435757158</v>
      </c>
      <c r="C6" s="31">
        <v>2.154966793558726</v>
      </c>
      <c r="D6" s="31">
        <v>2.337494782386236</v>
      </c>
      <c r="E6" s="31">
        <v>2.5637589737745863</v>
      </c>
      <c r="F6" s="31">
        <v>2.852288516410794</v>
      </c>
    </row>
    <row r="7" spans="1:6" x14ac:dyDescent="0.25">
      <c r="A7" s="30">
        <v>0.080406</v>
      </c>
      <c r="B7" s="31">
        <v>1.5051433463963528</v>
      </c>
      <c r="C7" s="31">
        <v>1.5945773073447422</v>
      </c>
      <c r="D7" s="32">
        <v>1.6991476203245364</v>
      </c>
      <c r="E7" s="31">
        <v>1.823358615781937</v>
      </c>
      <c r="F7" s="31">
        <v>1.9736986484974575</v>
      </c>
    </row>
    <row r="8" spans="1:6" x14ac:dyDescent="0.25">
      <c r="A8" s="30">
        <v>0.090406</v>
      </c>
      <c r="B8" s="31">
        <v>1.1380351649283322</v>
      </c>
      <c r="C8" s="31">
        <v>1.1928344659150238</v>
      </c>
      <c r="D8" s="31">
        <v>1.2551951525201426</v>
      </c>
      <c r="E8" s="31">
        <v>1.3269948657773019</v>
      </c>
      <c r="F8" s="31">
        <v>1.4107890220634385</v>
      </c>
    </row>
    <row r="9" spans="1:6" x14ac:dyDescent="0.25">
      <c r="A9" s="30">
        <v>0.100406</v>
      </c>
      <c r="B9" s="31">
        <v>0.8566285933295702</v>
      </c>
      <c r="C9" s="31">
        <v>0.8905715864714032</v>
      </c>
      <c r="D9" s="31">
        <v>0.9283358605652723</v>
      </c>
      <c r="E9" s="31">
        <v>0.970735539610278</v>
      </c>
      <c r="F9" s="31">
        <v>1.018833692350372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390100000</v>
      </c>
      <c r="C5" s="18">
        <v>382000000</v>
      </c>
      <c r="D5" s="18">
        <v>375900000</v>
      </c>
      <c r="E5" s="18">
        <v>365200000</v>
      </c>
      <c r="F5" s="8" t="s">
        <v>84</v>
      </c>
    </row>
    <row r="6" spans="1:6" x14ac:dyDescent="0.25">
      <c r="A6" t="s">
        <v>44</v>
      </c>
      <c r="B6" s="18">
        <v>220800000</v>
      </c>
      <c r="C6" s="18">
        <v>214200000</v>
      </c>
      <c r="D6" s="18">
        <v>214400000</v>
      </c>
      <c r="E6" s="18">
        <v>217000000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87</v>
      </c>
    </row>
    <row r="9" spans="1:6" x14ac:dyDescent="0.25">
      <c r="A9" t="s">
        <v>89</v>
      </c>
      <c r="B9" s="18">
        <v>200000</v>
      </c>
      <c r="C9" s="18">
        <v>37100000</v>
      </c>
      <c r="D9" s="18">
        <v>6600000</v>
      </c>
      <c r="E9" s="18">
        <v>0</v>
      </c>
      <c r="F9" s="8" t="s">
        <v>87</v>
      </c>
    </row>
    <row r="10" spans="1:6" x14ac:dyDescent="0.25">
      <c r="A10" t="s">
        <v>90</v>
      </c>
      <c r="B10" s="18">
        <v>1630800000</v>
      </c>
      <c r="C10" s="18">
        <v>1559900000</v>
      </c>
      <c r="D10" s="18">
        <v>1565400000</v>
      </c>
      <c r="E10" s="18">
        <v>1523400000</v>
      </c>
      <c r="F10" s="8" t="s">
        <v>91</v>
      </c>
    </row>
    <row r="11" spans="1:6" x14ac:dyDescent="0.25">
      <c r="A11" t="s">
        <v>92</v>
      </c>
      <c r="B11" s="18">
        <v>15600000</v>
      </c>
      <c r="C11" s="18">
        <v>8500000</v>
      </c>
      <c r="D11" s="18">
        <v>19400000</v>
      </c>
      <c r="E11" s="18">
        <v>23800000</v>
      </c>
      <c r="F11" s="8" t="s">
        <v>93</v>
      </c>
    </row>
    <row r="12" spans="1:6" x14ac:dyDescent="0.25">
      <c r="A12" t="s">
        <v>32</v>
      </c>
      <c r="B12" s="34">
        <v>1163636364</v>
      </c>
      <c r="C12" s="34">
        <v>1167582418</v>
      </c>
      <c r="D12" s="34">
        <v>1168918919</v>
      </c>
      <c r="E12" s="34">
        <v>1136623409</v>
      </c>
      <c r="F12" s="8" t="s">
        <v>94</v>
      </c>
    </row>
    <row r="15" spans="1:1" x14ac:dyDescent="0.25">
      <c r="A15" s="19" t="s">
        <v>95</v>
      </c>
    </row>
    <row r="16" ht="22" customHeight="1" spans="1:6" x14ac:dyDescent="0.25">
      <c r="A16" s="35" t="s">
        <v>96</v>
      </c>
      <c r="B16" s="35"/>
      <c r="C16" s="35"/>
      <c r="D16" s="35"/>
      <c r="E16" s="35"/>
      <c r="F16" s="35"/>
    </row>
    <row r="17" ht="86" customHeight="1" spans="1:6" x14ac:dyDescent="0.25">
      <c r="A17" s="35" t="s">
        <v>97</v>
      </c>
      <c r="B17" s="35"/>
      <c r="C17" s="35"/>
      <c r="D17" s="35"/>
      <c r="E17" s="35"/>
      <c r="F17" s="35"/>
    </row>
    <row r="18" ht="54" customHeight="1" spans="1:6" x14ac:dyDescent="0.25">
      <c r="A18" s="35" t="s">
        <v>98</v>
      </c>
      <c r="B18" s="35"/>
      <c r="C18" s="35"/>
      <c r="D18" s="35"/>
      <c r="E18" s="35"/>
      <c r="F18" s="35"/>
    </row>
    <row r="20" spans="1:1" x14ac:dyDescent="0.25">
      <c r="A20" s="36" t="s">
        <v>99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2026-09-19T00:07:16Z</dcterms:modified>
</cp:coreProperties>
</file>