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<sst xmlns="http://schemas.openxmlformats.org/spreadsheetml/2006/main" count="114" uniqueCount="102">
  <si>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Rheinmetall AG (RHM.DE)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</si>
  <si>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</si>
  <si>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</si>
  <si>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</si>
  <si>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</si>
  <si>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</si>
  <si>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</si>
  <si>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</si>
  <si>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</si>
  <si>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</si>
  <si>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</si>
  <si>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</si>
  <si>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</si>
  <si>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</si>
  <si>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</si>
  <si>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</si>
  <si>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</si>
  <si>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</si>
  <si>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</si>
  <si>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</si>
  <si>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</si>
  <si>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</si>
  <si>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</si>
  <si>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</si>
  <si>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</si>
  <si>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</si>
  <si>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</si>
  <si>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</si>
  <si>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</si>
  <si>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</si>
  <si>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</si>
  <si>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</si>
  <si>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</si>
  <si>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</si>
  <si>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</si>
  <si>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</si>
  <si>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</si>
  <si>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</si>
  <si>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</si>
  <si>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</si>
  <si>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</si>
  <si>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</si>
  <si>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</si>
  <si>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</si>
  <si>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</si>
  <si>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</si>
  <si>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</si>
  <si>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</si>
  <si>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</si>
  <si>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</si>
  <si>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</si>
  <si>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</si>
  <si>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</si>
  <si>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</si>
  <si>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</si>
  <si>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</si>
  <si>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</si>
  <si>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</si>
  <si>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</si>
  <si>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</si>
  <si>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</si>
  <si>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</si>
  <si>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</si>
  <si>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</si>
  <si>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</si>
  <si>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</si>
  <si>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</si>
  <si>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</si>
  <si>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</si>
  <si>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</si>
  <si>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</si>
  <si>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</si>
  <si>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</si>
  <si>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</si>
  <si>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</si>
  <si>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</si>
  <si>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</si>
  <si>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</si>
  <si>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</si>
  <si>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</si>
  <si>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</si>
  <si>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</si>
  <si>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</si>
  <si>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</si>
  <si>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</si>
  <si>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</si>
  <si>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</si>
  <si>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</si>
  <si>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</si>
  <si>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</si>
  <si>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</si>
  <si>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</si>
  <si>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</si>
  <si>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</si>
  <si>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</si>
  <si>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</si>
  <si>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</si>
  <si>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</si>
  <si>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7.3% of revenue against depreciation of 4.6%.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</si>
  <si>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</si>
  <si>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Current EV/EBITDA of 21.2x sits outside a defensible 3-20x band, so the exit multiple is capped at 20.0x.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</si>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</sst>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0.15727511347833945</v>
      </c>
    </row>
    <row r="7" spans="1:2" x14ac:dyDescent="0.25">
      <c r="A7" t="s">
        <v>5</v>
      </c>
      <c r="B7" s="6">
        <v>0.1450529686360384</v>
      </c>
    </row>
    <row r="8" spans="1:2" x14ac:dyDescent="0.25">
      <c r="A8" t="s">
        <v>6</v>
      </c>
      <c r="B8" s="6">
        <v>0.25339152437857493</v>
      </c>
    </row>
    <row r="9" spans="1:2" x14ac:dyDescent="0.25">
      <c r="A9" t="s">
        <v>7</v>
      </c>
      <c r="B9" s="6">
        <v>0.04611411858994074</v>
      </c>
    </row>
    <row r="10" spans="1:2" x14ac:dyDescent="0.25">
      <c r="A10" t="s">
        <v>8</v>
      </c>
      <c r="B10" s="6">
        <v>0.0731398607834831</v>
      </c>
    </row>
    <row r="11" spans="1:2" x14ac:dyDescent="0.25">
      <c r="A11" t="s">
        <v>9</v>
      </c>
      <c r="B11" s="6">
        <v>-0.32117117117117117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0.15934593260054603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0.61877</v>
      </c>
      <c r="C19" s="8" t="s">
        <v>19</v>
      </c>
    </row>
    <row r="20" spans="1:2" x14ac:dyDescent="0.25">
      <c r="A20" t="s">
        <v>20</v>
      </c>
      <c r="B20" s="10">
        <f>B17+B19*B18</f>
        <v>0.0631262</v>
      </c>
    </row>
    <row r="21" spans="1:3" x14ac:dyDescent="0.25">
      <c r="A21" t="s">
        <v>21</v>
      </c>
      <c r="B21" s="6">
        <v>0.06261808367071525</v>
      </c>
      <c r="C21" s="8" t="s">
        <v>22</v>
      </c>
    </row>
    <row r="22" spans="1:2" x14ac:dyDescent="0.25">
      <c r="A22" t="s">
        <v>23</v>
      </c>
      <c r="B22" s="11">
        <v>47218745344</v>
      </c>
    </row>
    <row r="23" spans="1:2" x14ac:dyDescent="0.25">
      <c r="A23" t="s">
        <v>24</v>
      </c>
      <c r="B23" s="11">
        <v>1282000000</v>
      </c>
    </row>
    <row r="24" spans="1:2" x14ac:dyDescent="0.25">
      <c r="A24" t="s">
        <v>25</v>
      </c>
      <c r="B24" s="10">
        <f>B22/(B22+B23)</f>
        <v>0.9735674165230412</v>
      </c>
    </row>
    <row r="25" spans="1:2" x14ac:dyDescent="0.25">
      <c r="A25" t="s">
        <v>26</v>
      </c>
      <c r="B25" s="10">
        <f>1-B24</f>
        <v>0.02643258347695876</v>
      </c>
    </row>
    <row r="26" spans="1:2" x14ac:dyDescent="0.25">
      <c r="A26" t="s">
        <v>27</v>
      </c>
      <c r="B26" s="12">
        <f>B24*B20+B25*B21*(1-B8)</f>
        <v>0.0626933662339912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9935000000</v>
      </c>
      <c r="C29" s="8" t="s">
        <v>30</v>
      </c>
    </row>
    <row r="30" spans="1:2" x14ac:dyDescent="0.25">
      <c r="A30" t="s">
        <v>31</v>
      </c>
      <c r="B30" s="11">
        <v>-409000000</v>
      </c>
    </row>
    <row r="31" spans="1:2" x14ac:dyDescent="0.25">
      <c r="A31" t="s">
        <v>32</v>
      </c>
      <c r="B31" s="13">
        <v>46660000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0.15727511347833945</v>
      </c>
      <c r="C5" s="10">
        <f>Assumptions!B6</f>
        <v>0.15727511347833945</v>
      </c>
      <c r="D5" s="10">
        <f>Assumptions!B6</f>
        <v>0.15727511347833945</v>
      </c>
      <c r="E5" s="10">
        <f>Assumptions!B6</f>
        <v>0.15727511347833945</v>
      </c>
      <c r="F5" s="10">
        <f>Assumptions!B6</f>
        <v>0.15727511347833945</v>
      </c>
    </row>
    <row r="6" spans="1:6" x14ac:dyDescent="0.25">
      <c r="A6" t="s">
        <v>43</v>
      </c>
      <c r="B6" s="18">
        <f>Assumptions!B29*(1+B5)</f>
        <v>11497528252.407303</v>
      </c>
      <c r="C6" s="18">
        <f>B6*(1+C5)</f>
        <v>13305803313.025076</v>
      </c>
      <c r="D6" s="18">
        <f>C6*(1+D5)</f>
        <v>15398475039.00156</v>
      </c>
      <c r="E6" s="18">
        <f>D6*(1+E5)</f>
        <v>17820271948.153908</v>
      </c>
      <c r="F6" s="18">
        <f>E6*(1+F5)</f>
        <v>20622957241.014683</v>
      </c>
    </row>
    <row r="7" spans="1:6" x14ac:dyDescent="0.25">
      <c r="A7" t="s">
        <v>5</v>
      </c>
      <c r="B7" s="10">
        <f>Assumptions!B7</f>
        <v>0.1450529686360384</v>
      </c>
      <c r="C7" s="10">
        <f>Assumptions!B7</f>
        <v>0.1450529686360384</v>
      </c>
      <c r="D7" s="10">
        <f>Assumptions!B7</f>
        <v>0.1450529686360384</v>
      </c>
      <c r="E7" s="10">
        <f>Assumptions!B7</f>
        <v>0.1450529686360384</v>
      </c>
      <c r="F7" s="10">
        <f>Assumptions!B7</f>
        <v>0.1450529686360384</v>
      </c>
    </row>
    <row r="8" spans="1:6" x14ac:dyDescent="0.25">
      <c r="A8" t="s">
        <v>44</v>
      </c>
      <c r="B8" s="18">
        <f>B6*B7</f>
        <v>1667750604.988402</v>
      </c>
      <c r="C8" s="18">
        <f>C6*C7</f>
        <v>1930046270.6415222</v>
      </c>
      <c r="D8" s="18">
        <f>D6*D7</f>
        <v>2233594516.8751135</v>
      </c>
      <c r="E8" s="18">
        <f>E6*E7</f>
        <v>2584883347.9812436</v>
      </c>
      <c r="F8" s="18">
        <f>F6*F7</f>
        <v>2991421169.8632636</v>
      </c>
    </row>
    <row r="9" spans="1:6" x14ac:dyDescent="0.25">
      <c r="A9" t="s">
        <v>45</v>
      </c>
      <c r="B9" s="18">
        <f>B8*(1-Assumptions!B8)</f>
        <v>1245156736.9071002</v>
      </c>
      <c r="C9" s="18">
        <f>C8*(1-Assumptions!B8)</f>
        <v>1440988904.0024834</v>
      </c>
      <c r="D9" s="18">
        <f>D8*(1-Assumptions!B8)</f>
        <v>1667620597.400502</v>
      </c>
      <c r="E9" s="18">
        <f>E8*(1-Assumptions!B8)</f>
        <v>1929895816.0954819</v>
      </c>
      <c r="F9" s="18">
        <f>F8*(1-Assumptions!B8)</f>
        <v>2233420399.5732713</v>
      </c>
    </row>
    <row r="10" spans="1:6" x14ac:dyDescent="0.25">
      <c r="A10" t="s">
        <v>46</v>
      </c>
      <c r="B10" s="18">
        <f>B6*Assumptions!B9</f>
        <v>530198381.32270443</v>
      </c>
      <c r="C10" s="18">
        <f>C6*Assumptions!B9</f>
        <v>613585391.9112647</v>
      </c>
      <c r="D10" s="18">
        <f>D6*Assumptions!B9</f>
        <v>710087104.0527602</v>
      </c>
      <c r="E10" s="18">
        <f>E6*Assumptions!B9</f>
        <v>821766133.9221636</v>
      </c>
      <c r="F10" s="18">
        <f>F6*Assumptions!B9</f>
        <v>951009495.8874282</v>
      </c>
    </row>
    <row r="11" spans="1:6" x14ac:dyDescent="0.25">
      <c r="A11" t="s">
        <v>47</v>
      </c>
      <c r="B11" s="18">
        <f>-B6*Assumptions!B10</f>
        <v>-840927615.7352339</v>
      </c>
      <c r="C11" s="18">
        <f>-C6*Assumptions!B10</f>
        <v>-973184601.9270623</v>
      </c>
      <c r="D11" s="18">
        <f>-D6*Assumptions!B10</f>
        <v>-1126242320.6305137</v>
      </c>
      <c r="E11" s="18">
        <f>-E6*Assumptions!B10</f>
        <v>-1303372209.411786</v>
      </c>
      <c r="F11" s="18">
        <f>-F6*Assumptions!B10</f>
        <v>-1508360221.5515387</v>
      </c>
    </row>
    <row r="12" spans="1:6" x14ac:dyDescent="0.25">
      <c r="A12" t="s">
        <v>48</v>
      </c>
      <c r="B12" s="18">
        <f>-(B6-Assumptions!B29)*Assumptions!B11</f>
        <v>501839028.8136968</v>
      </c>
      <c r="C12" s="18">
        <f>-(C6-B6)*Assumptions!B11</f>
        <v>580765819.0182307</v>
      </c>
      <c r="D12" s="18">
        <f>-(D6-C6)*Assumptions!B11</f>
        <v>672105829.1086637</v>
      </c>
      <c r="E12" s="18">
        <f>-(E6-D6)*Assumptions!B11</f>
        <v>777811349.6511819</v>
      </c>
      <c r="F12" s="18">
        <f>-(F6-E6)*Assumptions!B11</f>
        <v>900141717.932312</v>
      </c>
    </row>
    <row r="13" spans="1:6" x14ac:dyDescent="0.25">
      <c r="A13" s="19" t="s">
        <v>49</v>
      </c>
      <c r="B13" s="20">
        <f>B9+B10+B11+B12</f>
        <v>1436266531.3082674</v>
      </c>
      <c r="C13" s="20">
        <f>C9+C10+C11+C12</f>
        <v>1662155513.0049164</v>
      </c>
      <c r="D13" s="20">
        <f>D9+D10+D11+D12</f>
        <v>1923571209.9314122</v>
      </c>
      <c r="E13" s="20">
        <f>E9+E10+E11+E12</f>
        <v>2226101090.257041</v>
      </c>
      <c r="F13" s="20">
        <f>F9+F10+F11+F12</f>
        <v>2576211391.8414726</v>
      </c>
    </row>
    <row r="14" spans="1:6" x14ac:dyDescent="0.25">
      <c r="A14" t="s">
        <v>50</v>
      </c>
      <c r="B14" s="21">
        <f>1/(1+Assumptions!$B$26)^(1-0.5*Assumptions!$B$32)</f>
        <v>0.9700542332275371</v>
      </c>
      <c r="C14" s="21">
        <f>1/(1+Assumptions!$B$26)^(2-0.5*Assumptions!$B$32)</f>
        <v>0.9128260926905455</v>
      </c>
      <c r="D14" s="21">
        <f>1/(1+Assumptions!$B$26)^(3-0.5*Assumptions!$B$32)</f>
        <v>0.8589741139774397</v>
      </c>
      <c r="E14" s="21">
        <f>1/(1+Assumptions!$B$26)^(4-0.5*Assumptions!$B$32)</f>
        <v>0.808299121148654</v>
      </c>
      <c r="F14" s="21">
        <f>1/(1+Assumptions!$B$26)^(5-0.5*Assumptions!$B$32)</f>
        <v>0.7606136886062738</v>
      </c>
    </row>
    <row r="15" spans="1:6" x14ac:dyDescent="0.25">
      <c r="A15" s="19" t="s">
        <v>51</v>
      </c>
      <c r="B15" s="20">
        <f>B13*B14</f>
        <v>1393256428.7386158</v>
      </c>
      <c r="C15" s="20">
        <f>C13*C14</f>
        <v>1517258922.380327</v>
      </c>
      <c r="D15" s="20">
        <f>D13*D14</f>
        <v>1652297875.7233465</v>
      </c>
      <c r="E15" s="20">
        <f>E13*E14</f>
        <v>1799355554.8428266</v>
      </c>
      <c r="F15" s="20">
        <f>F13*F14</f>
        <v>1959501649.378045</v>
      </c>
    </row>
    <row r="17" spans="1:2" x14ac:dyDescent="0.25">
      <c r="A17" s="22" t="s">
        <v>52</v>
      </c>
      <c r="B17" s="23">
        <f>SUM(B15:F15)</f>
        <v>8321670431.063161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2576211391.8414726</v>
      </c>
    </row>
    <row r="5" spans="1:2" x14ac:dyDescent="0.25">
      <c r="A5" t="s">
        <v>56</v>
      </c>
      <c r="B5" s="18">
        <f>IF(Assumptions!$B$33=0,B4,B4-Forecast!F11-Forecast!F10-Forecast!F12)</f>
        <v>2575566449.4518685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0.15689135952199595</v>
      </c>
    </row>
    <row r="7" spans="1:2" x14ac:dyDescent="0.25">
      <c r="A7" t="s">
        <v>58</v>
      </c>
      <c r="B7" s="18">
        <f>-MAX(Forecast!F9,0)*B6</f>
        <v>-404084121.7937437</v>
      </c>
    </row>
    <row r="8" spans="1:2" x14ac:dyDescent="0.25">
      <c r="A8" t="s">
        <v>59</v>
      </c>
      <c r="B8" s="18">
        <f>IF(OR(Assumptions!$B$33=0,Assumptions!B12&lt;=0),B5,MAX(B5+B7,0))</f>
        <v>2171482327.658125</v>
      </c>
    </row>
    <row r="9" spans="1:2" x14ac:dyDescent="0.25">
      <c r="A9" t="s">
        <v>60</v>
      </c>
      <c r="B9" s="18">
        <f>B8*(1+Assumptions!B12)/(Assumptions!B26-Assumptions!B12)</f>
        <v>59049366194.37346</v>
      </c>
    </row>
    <row r="10" spans="1:2" x14ac:dyDescent="0.25">
      <c r="A10" t="s">
        <v>61</v>
      </c>
      <c r="B10" s="18">
        <f>B9/(1+Assumptions!B26)^(5-0.5*Assumptions!B32)</f>
        <v>44913756230.965004</v>
      </c>
    </row>
    <row r="11" spans="1:2" x14ac:dyDescent="0.25">
      <c r="A11" t="s">
        <v>62</v>
      </c>
      <c r="B11" s="18">
        <f>Forecast!B17+B10</f>
        <v>53235426662.02817</v>
      </c>
    </row>
    <row r="12" spans="1:2" x14ac:dyDescent="0.25">
      <c r="A12" t="s">
        <v>63</v>
      </c>
      <c r="B12" s="18">
        <f>-Assumptions!B30</f>
        <v>409000000</v>
      </c>
    </row>
    <row r="13" spans="1:2" x14ac:dyDescent="0.25">
      <c r="A13" t="s">
        <v>64</v>
      </c>
      <c r="B13" s="18">
        <f>B11+B12</f>
        <v>53644426662.02817</v>
      </c>
    </row>
    <row r="14" spans="1:2" x14ac:dyDescent="0.25">
      <c r="A14" s="19" t="s">
        <v>65</v>
      </c>
      <c r="B14" s="24">
        <f>B13/Assumptions!B31</f>
        <v>1149.6876695676847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3942430665.750692</v>
      </c>
    </row>
    <row r="18" spans="1:2" x14ac:dyDescent="0.25">
      <c r="A18" t="s">
        <v>60</v>
      </c>
      <c r="B18" s="18">
        <f>B17*Assumptions!B13</f>
        <v>78848613315.01384</v>
      </c>
    </row>
    <row r="19" spans="1:2" x14ac:dyDescent="0.25">
      <c r="A19" t="s">
        <v>61</v>
      </c>
      <c r="B19" s="18">
        <f>B18/(1+Assumptions!B26)^(5-0.5*Assumptions!B32)</f>
        <v>59973334615.02243</v>
      </c>
    </row>
    <row r="20" spans="1:2" x14ac:dyDescent="0.25">
      <c r="A20" t="s">
        <v>62</v>
      </c>
      <c r="B20" s="18">
        <f>Forecast!B17+B19</f>
        <v>68295005046.085594</v>
      </c>
    </row>
    <row r="21" spans="1:2" x14ac:dyDescent="0.25">
      <c r="A21" t="s">
        <v>63</v>
      </c>
      <c r="B21" s="18">
        <f>-Assumptions!B30</f>
        <v>409000000</v>
      </c>
    </row>
    <row r="22" spans="1:2" x14ac:dyDescent="0.25">
      <c r="A22" t="s">
        <v>64</v>
      </c>
      <c r="B22" s="18">
        <f>B20+B21</f>
        <v>68704005046.085594</v>
      </c>
    </row>
    <row r="23" spans="1:2" x14ac:dyDescent="0.25">
      <c r="A23" s="19" t="s">
        <v>65</v>
      </c>
      <c r="B23" s="25">
        <f>B22/Assumptions!B31</f>
        <v>1472.4390279915472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1011.8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1149.6876695676847</v>
      </c>
    </row>
    <row r="29" spans="1:2" x14ac:dyDescent="0.25">
      <c r="A29" s="19" t="s">
        <v>73</v>
      </c>
      <c r="B29" s="12">
        <f>B28/B26-1</f>
        <v>0.13627957063420126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0.042693</v>
      </c>
      <c r="B5" s="31">
        <v>1714.851179408956</v>
      </c>
      <c r="C5" s="31">
        <v>1994.029223960122</v>
      </c>
      <c r="D5" s="31">
        <v>2430.186322920854</v>
      </c>
      <c r="E5" s="31">
        <v>3208.833058197989</v>
      </c>
      <c r="F5" s="31">
        <v>4997.76411908648</v>
      </c>
    </row>
    <row r="6" spans="1:6" x14ac:dyDescent="0.25">
      <c r="A6" s="30">
        <v>0.052693</v>
      </c>
      <c r="B6" s="31">
        <v>1260.3472641691087</v>
      </c>
      <c r="C6" s="31">
        <v>1386.9663309084387</v>
      </c>
      <c r="D6" s="31">
        <v>1558.8114093683769</v>
      </c>
      <c r="E6" s="31">
        <v>1805.776747810903</v>
      </c>
      <c r="F6" s="31">
        <v>2191.548770230752</v>
      </c>
    </row>
    <row r="7" spans="1:6" x14ac:dyDescent="0.25">
      <c r="A7" s="30">
        <v>0.062693</v>
      </c>
      <c r="B7" s="31">
        <v>996.5212708692136</v>
      </c>
      <c r="C7" s="31">
        <v>1064.294561281199</v>
      </c>
      <c r="D7" s="32">
        <v>1149.6986790821318</v>
      </c>
      <c r="E7" s="31">
        <v>1260.8228914189308</v>
      </c>
      <c r="F7" s="31">
        <v>1411.598567880951</v>
      </c>
    </row>
    <row r="8" spans="1:6" x14ac:dyDescent="0.25">
      <c r="A8" s="30">
        <v>0.072693</v>
      </c>
      <c r="B8" s="31">
        <v>824.2206962394106</v>
      </c>
      <c r="C8" s="31">
        <v>864.1026643145564</v>
      </c>
      <c r="D8" s="31">
        <v>912.08203176022</v>
      </c>
      <c r="E8" s="31">
        <v>971.0037846527556</v>
      </c>
      <c r="F8" s="31">
        <v>1045.2224657906424</v>
      </c>
    </row>
    <row r="9" spans="1:6" x14ac:dyDescent="0.25">
      <c r="A9" s="30">
        <v>0.082693</v>
      </c>
      <c r="B9" s="31">
        <v>702.8825066609897</v>
      </c>
      <c r="C9" s="31">
        <v>727.7833102131171</v>
      </c>
      <c r="D9" s="31">
        <v>756.7902299512439</v>
      </c>
      <c r="E9" s="31">
        <v>791.0721449065508</v>
      </c>
      <c r="F9" s="31">
        <v>832.2881020724686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9935000000</v>
      </c>
      <c r="C5" s="18">
        <v>7715000000</v>
      </c>
      <c r="D5" s="18">
        <v>7176000000</v>
      </c>
      <c r="E5" s="18">
        <v>6410000000</v>
      </c>
      <c r="F5" s="8" t="s">
        <v>84</v>
      </c>
    </row>
    <row r="6" spans="1:6" x14ac:dyDescent="0.25">
      <c r="A6" t="s">
        <v>44</v>
      </c>
      <c r="B6" s="18">
        <v>1702000000</v>
      </c>
      <c r="C6" s="18">
        <v>1329000000</v>
      </c>
      <c r="D6" s="18">
        <v>854000000</v>
      </c>
      <c r="E6" s="18">
        <v>754000000</v>
      </c>
      <c r="F6" s="8" t="s">
        <v>85</v>
      </c>
    </row>
    <row r="7" spans="1:6" x14ac:dyDescent="0.25">
      <c r="A7" t="s">
        <v>86</v>
      </c>
      <c r="B7" s="18">
        <v>501000000</v>
      </c>
      <c r="C7" s="18">
        <v>402000000</v>
      </c>
      <c r="D7" s="18">
        <v>308000000</v>
      </c>
      <c r="E7" s="18">
        <v>250000000</v>
      </c>
      <c r="F7" s="8" t="s">
        <v>87</v>
      </c>
    </row>
    <row r="8" spans="1:6" x14ac:dyDescent="0.25">
      <c r="A8" t="s">
        <v>88</v>
      </c>
      <c r="B8" s="18">
        <v>872000000</v>
      </c>
      <c r="C8" s="18">
        <v>732000000</v>
      </c>
      <c r="D8" s="18">
        <v>398000000</v>
      </c>
      <c r="E8" s="18">
        <v>349000000</v>
      </c>
      <c r="F8" s="8" t="s">
        <v>89</v>
      </c>
    </row>
    <row r="9" spans="1:6" x14ac:dyDescent="0.25">
      <c r="A9" t="s">
        <v>90</v>
      </c>
      <c r="B9" s="18">
        <v>-713000000</v>
      </c>
      <c r="C9" s="18">
        <v>-434000000</v>
      </c>
      <c r="D9" s="18">
        <v>197000000</v>
      </c>
      <c r="E9" s="18">
        <v>573000000</v>
      </c>
      <c r="F9" s="8" t="s">
        <v>91</v>
      </c>
    </row>
    <row r="10" spans="1:6" x14ac:dyDescent="0.25">
      <c r="A10" t="s">
        <v>92</v>
      </c>
      <c r="B10" s="18">
        <v>1282000000</v>
      </c>
      <c r="C10" s="18">
        <v>2423000000</v>
      </c>
      <c r="D10" s="18">
        <v>1914000000</v>
      </c>
      <c r="E10" s="18">
        <v>972000000</v>
      </c>
      <c r="F10" s="8" t="s">
        <v>93</v>
      </c>
    </row>
    <row r="11" spans="1:6" x14ac:dyDescent="0.25">
      <c r="A11" t="s">
        <v>94</v>
      </c>
      <c r="B11" s="18">
        <v>1691000000</v>
      </c>
      <c r="C11" s="18">
        <v>1265000000</v>
      </c>
      <c r="D11" s="18">
        <v>915000000</v>
      </c>
      <c r="E11" s="18">
        <v>696000000</v>
      </c>
      <c r="F11" s="8" t="s">
        <v>95</v>
      </c>
    </row>
    <row r="12" spans="1:6" x14ac:dyDescent="0.25">
      <c r="A12" t="s">
        <v>32</v>
      </c>
      <c r="B12" s="34">
        <v>46660000</v>
      </c>
      <c r="C12" s="34">
        <v>46660000</v>
      </c>
      <c r="D12" s="34">
        <v>46340000</v>
      </c>
      <c r="E12" s="34">
        <v>43360000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