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<sst xmlns="http://schemas.openxmlformats.org/spreadsheetml/2006/main" count="114" uniqueCount="102">
  <si>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Pernod Ricard SA (RI.PA)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</si>
  <si>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</si>
  <si>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</si>
  <si>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</si>
  <si>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</si>
  <si>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</si>
  <si>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</si>
  <si>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</si>
  <si>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</si>
  <si>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</si>
  <si>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</si>
  <si>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</si>
  <si>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</si>
  <si>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</si>
  <si>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</si>
  <si>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</si>
  <si>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</si>
  <si>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</si>
  <si>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</si>
  <si>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</si>
  <si>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</si>
  <si>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</si>
  <si>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</si>
  <si>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</si>
  <si>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</si>
  <si>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</si>
  <si>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</si>
  <si>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</si>
  <si>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</si>
  <si>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</si>
  <si>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2026-06-30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</si>
  <si>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</si>
  <si>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</si>
  <si>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</si>
  <si>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</si>
  <si>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</si>
  <si>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</si>
  <si>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</si>
  <si>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</si>
  <si>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</si>
  <si>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</si>
  <si>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</si>
  <si>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</si>
  <si>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</si>
  <si>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</si>
  <si>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</si>
  <si>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</si>
  <si>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</si>
  <si>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</si>
  <si>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</si>
  <si>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</si>
  <si>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</si>
  <si>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</si>
  <si>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</si>
  <si>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</si>
  <si>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</si>
  <si>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</si>
  <si>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</si>
  <si>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</si>
  <si>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</si>
  <si>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</si>
  <si>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</si>
  <si>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</si>
  <si>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</si>
  <si>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</si>
  <si>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</si>
  <si>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</si>
  <si>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</si>
  <si>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</si>
  <si>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</si>
  <si>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</si>
  <si>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</si>
  <si>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</si>
  <si>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</si>
  <si>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</si>
  <si>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</si>
  <si>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</si>
  <si>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</si>
  <si>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</si>
  <si>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</si>
  <si>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</si>
  <si>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</si>
  <si>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</si>
  <si>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</si>
  <si>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</si>
  <si>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</si>
  <si>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</si>
  <si>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</si>
  <si>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</si>
  <si>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</si>
  <si>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</si>
  <si>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</si>
  <si>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</si>
  <si>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</si>
  <si>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</si>
  <si>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</si>
  <si>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</si>
  <si>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</si>
  <si>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</si>
  <si>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Capital expenditure runs at 5.7% of revenue against depreciation of 3.9%.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</si>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</sst>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-0.08155808650613228</v>
      </c>
    </row>
    <row r="7" spans="1:2" x14ac:dyDescent="0.25">
      <c r="A7" t="s">
        <v>5</v>
      </c>
      <c r="B7" s="6">
        <v>0.2666212372252443</v>
      </c>
    </row>
    <row r="8" spans="1:2" x14ac:dyDescent="0.25">
      <c r="A8" t="s">
        <v>6</v>
      </c>
      <c r="B8" s="6">
        <v>0.258</v>
      </c>
    </row>
    <row r="9" spans="1:2" x14ac:dyDescent="0.25">
      <c r="A9" t="s">
        <v>7</v>
      </c>
      <c r="B9" s="6">
        <v>0.03870271545128598</v>
      </c>
    </row>
    <row r="10" spans="1:2" x14ac:dyDescent="0.25">
      <c r="A10" t="s">
        <v>8</v>
      </c>
      <c r="B10" s="6">
        <v>0.056733694319375964</v>
      </c>
    </row>
    <row r="11" spans="1:2" x14ac:dyDescent="0.25">
      <c r="A11" t="s">
        <v>9</v>
      </c>
      <c r="B11" s="6">
        <v>-0.7355242566510172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9.077096552212389</v>
      </c>
    </row>
    <row r="14" spans="1:3" x14ac:dyDescent="0.25">
      <c r="A14" t="s">
        <v>12</v>
      </c>
      <c r="B14" s="6">
        <v>0.07975620636583529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0.64758</v>
      </c>
      <c r="C19" s="8" t="s">
        <v>19</v>
      </c>
    </row>
    <row r="20" spans="1:2" x14ac:dyDescent="0.25">
      <c r="A20" t="s">
        <v>20</v>
      </c>
      <c r="B20" s="10">
        <f>B17+B19*B18</f>
        <v>0.0708548</v>
      </c>
    </row>
    <row r="21" spans="1:3" x14ac:dyDescent="0.25">
      <c r="A21" t="s">
        <v>21</v>
      </c>
      <c r="B21" s="6">
        <v>0.03911786831373481</v>
      </c>
      <c r="C21" s="8" t="s">
        <v>22</v>
      </c>
    </row>
    <row r="22" spans="1:2" x14ac:dyDescent="0.25">
      <c r="A22" t="s">
        <v>23</v>
      </c>
      <c r="B22" s="11">
        <v>14967797760</v>
      </c>
    </row>
    <row r="23" spans="1:2" x14ac:dyDescent="0.25">
      <c r="A23" t="s">
        <v>24</v>
      </c>
      <c r="B23" s="11">
        <v>12668000000</v>
      </c>
    </row>
    <row r="24" spans="1:2" x14ac:dyDescent="0.25">
      <c r="A24" t="s">
        <v>25</v>
      </c>
      <c r="B24" s="10">
        <f>B22/(B22+B23)</f>
        <v>0.5416090351357383</v>
      </c>
    </row>
    <row r="25" spans="1:2" x14ac:dyDescent="0.25">
      <c r="A25" t="s">
        <v>26</v>
      </c>
      <c r="B25" s="10">
        <f>1-B24</f>
        <v>0.4583909648642617</v>
      </c>
    </row>
    <row r="26" spans="1:2" x14ac:dyDescent="0.25">
      <c r="A26" t="s">
        <v>27</v>
      </c>
      <c r="B26" s="12">
        <f>B24*B20+B25*B21*(1-B8)</f>
        <v>0.05168060769336211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9403000000</v>
      </c>
      <c r="C29" s="8" t="s">
        <v>30</v>
      </c>
    </row>
    <row r="30" spans="1:2" x14ac:dyDescent="0.25">
      <c r="A30" t="s">
        <v>31</v>
      </c>
      <c r="B30" s="11">
        <v>10675000000</v>
      </c>
    </row>
    <row r="31" spans="1:2" x14ac:dyDescent="0.25">
      <c r="A31" t="s">
        <v>32</v>
      </c>
      <c r="B31" s="13">
        <v>251812562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-0.08155808650613228</v>
      </c>
      <c r="C5" s="10">
        <f>Assumptions!B6</f>
        <v>-0.08155808650613228</v>
      </c>
      <c r="D5" s="10">
        <f>Assumptions!B6</f>
        <v>-0.08155808650613228</v>
      </c>
      <c r="E5" s="10">
        <f>Assumptions!B6</f>
        <v>-0.08155808650613228</v>
      </c>
      <c r="F5" s="10">
        <f>Assumptions!B6</f>
        <v>-0.08155808650613228</v>
      </c>
    </row>
    <row r="6" spans="1:6" x14ac:dyDescent="0.25">
      <c r="A6" t="s">
        <v>43</v>
      </c>
      <c r="B6" s="18">
        <f>Assumptions!B29*(1+B5)</f>
        <v>8636109312.582838</v>
      </c>
      <c r="C6" s="18">
        <f>B6*(1+C5)</f>
        <v>7931764762.190792</v>
      </c>
      <c r="D6" s="18">
        <f>C6*(1+D5)</f>
        <v>7284865205.569744</v>
      </c>
      <c r="E6" s="18">
        <f>D6*(1+E5)</f>
        <v>6690725538.948374</v>
      </c>
      <c r="F6" s="18">
        <f>E6*(1+F5)</f>
        <v>6145042766.654034</v>
      </c>
    </row>
    <row r="7" spans="1:6" x14ac:dyDescent="0.25">
      <c r="A7" t="s">
        <v>5</v>
      </c>
      <c r="B7" s="10">
        <f>Assumptions!B7</f>
        <v>0.2666212372252443</v>
      </c>
      <c r="C7" s="10">
        <f>Assumptions!B7</f>
        <v>0.2666212372252443</v>
      </c>
      <c r="D7" s="10">
        <f>Assumptions!B7</f>
        <v>0.2666212372252443</v>
      </c>
      <c r="E7" s="10">
        <f>Assumptions!B7</f>
        <v>0.2666212372252443</v>
      </c>
      <c r="F7" s="10">
        <f>Assumptions!B7</f>
        <v>0.2666212372252443</v>
      </c>
    </row>
    <row r="8" spans="1:6" x14ac:dyDescent="0.25">
      <c r="A8" t="s">
        <v>44</v>
      </c>
      <c r="B8" s="18">
        <f>B6*B7</f>
        <v>2302570149.73329</v>
      </c>
      <c r="C8" s="18">
        <f>C6*C7</f>
        <v>2114776934.2749045</v>
      </c>
      <c r="D8" s="18">
        <f>D6*D7</f>
        <v>1942299774.1281388</v>
      </c>
      <c r="E8" s="18">
        <f>E6*E7</f>
        <v>1783889521.1289546</v>
      </c>
      <c r="F8" s="18">
        <f>F6*F7</f>
        <v>1638398905.2473366</v>
      </c>
    </row>
    <row r="9" spans="1:6" x14ac:dyDescent="0.25">
      <c r="A9" t="s">
        <v>45</v>
      </c>
      <c r="B9" s="18">
        <f>B8*(1-Assumptions!B8)</f>
        <v>1708507051.1021013</v>
      </c>
      <c r="C9" s="18">
        <f>C8*(1-Assumptions!B8)</f>
        <v>1569164485.2319791</v>
      </c>
      <c r="D9" s="18">
        <f>D8*(1-Assumptions!B8)</f>
        <v>1441186432.403079</v>
      </c>
      <c r="E9" s="18">
        <f>E8*(1-Assumptions!B8)</f>
        <v>1323646024.6776843</v>
      </c>
      <c r="F9" s="18">
        <f>F8*(1-Assumptions!B8)</f>
        <v>1215691987.693524</v>
      </c>
    </row>
    <row r="10" spans="1:6" x14ac:dyDescent="0.25">
      <c r="A10" t="s">
        <v>46</v>
      </c>
      <c r="B10" s="18">
        <f>B6*Assumptions!B9</f>
        <v>334240881.33109456</v>
      </c>
      <c r="C10" s="18">
        <f>C6*Assumptions!B9</f>
        <v>306980834.61760724</v>
      </c>
      <c r="D10" s="18">
        <f>D6*Assumptions!B9</f>
        <v>281944065.1521397</v>
      </c>
      <c r="E10" s="18">
        <f>E6*Assumptions!B9</f>
        <v>258949246.69657093</v>
      </c>
      <c r="F10" s="18">
        <f>F6*Assumptions!B9</f>
        <v>237829841.63379422</v>
      </c>
    </row>
    <row r="11" spans="1:6" x14ac:dyDescent="0.25">
      <c r="A11" t="s">
        <v>47</v>
      </c>
      <c r="B11" s="18">
        <f>-B6*Assumptions!B10</f>
        <v>-489958385.8487908</v>
      </c>
      <c r="C11" s="18">
        <f>-C6*Assumptions!B10</f>
        <v>-449998317.4313302</v>
      </c>
      <c r="D11" s="18">
        <f>-D6*Assumptions!B10</f>
        <v>-413297315.7306518</v>
      </c>
      <c r="E11" s="18">
        <f>-E6*Assumptions!B10</f>
        <v>-379589577.50153905</v>
      </c>
      <c r="F11" s="18">
        <f>-F6*Assumptions!B10</f>
        <v>-348630977.9028423</v>
      </c>
    </row>
    <row r="12" spans="1:6" x14ac:dyDescent="0.25">
      <c r="A12" t="s">
        <v>48</v>
      </c>
      <c r="B12" s="18">
        <f>-(B6-Assumptions!B29)*Assumptions!B11</f>
        <v>-564066702.7950956</v>
      </c>
      <c r="C12" s="18">
        <f>-(C6-B6)*Assumptions!B11</f>
        <v>-518062501.8533045</v>
      </c>
      <c r="D12" s="18">
        <f>-(D6-C6)*Assumptions!B11</f>
        <v>-475810315.5115689</v>
      </c>
      <c r="E12" s="18">
        <f>-(E6-D6)*Assumptions!B11</f>
        <v>-437004136.63856655</v>
      </c>
      <c r="F12" s="18">
        <f>-(F6-E6)*Assumptions!B11</f>
        <v>-401362915.4590608</v>
      </c>
    </row>
    <row r="13" spans="1:6" x14ac:dyDescent="0.25">
      <c r="A13" s="19" t="s">
        <v>49</v>
      </c>
      <c r="B13" s="20">
        <f>B9+B10+B11+B12</f>
        <v>988722843.7893094</v>
      </c>
      <c r="C13" s="20">
        <f>C9+C10+C11+C12</f>
        <v>908084500.5649518</v>
      </c>
      <c r="D13" s="20">
        <f>D9+D10+D11+D12</f>
        <v>834022866.3129979</v>
      </c>
      <c r="E13" s="20">
        <f>E9+E10+E11+E12</f>
        <v>766001557.2341497</v>
      </c>
      <c r="F13" s="20">
        <f>F9+F10+F11+F12</f>
        <v>703527935.9654151</v>
      </c>
    </row>
    <row r="14" spans="1:6" x14ac:dyDescent="0.25">
      <c r="A14" t="s">
        <v>50</v>
      </c>
      <c r="B14" s="21">
        <f>1/(1+Assumptions!$B$26)^(1-0.5*Assumptions!$B$32)</f>
        <v>0.9751200067795691</v>
      </c>
      <c r="C14" s="21">
        <f>1/(1+Assumptions!$B$26)^(2-0.5*Assumptions!$B$32)</f>
        <v>0.927201661460971</v>
      </c>
      <c r="D14" s="21">
        <f>1/(1+Assumptions!$B$26)^(3-0.5*Assumptions!$B$32)</f>
        <v>0.8816380702260841</v>
      </c>
      <c r="E14" s="21">
        <f>1/(1+Assumptions!$B$26)^(4-0.5*Assumptions!$B$32)</f>
        <v>0.8383135181695229</v>
      </c>
      <c r="F14" s="21">
        <f>1/(1+Assumptions!$B$26)^(5-0.5*Assumptions!$B$32)</f>
        <v>0.7971179767288716</v>
      </c>
    </row>
    <row r="15" spans="1:6" x14ac:dyDescent="0.25">
      <c r="A15" s="19" t="s">
        <v>51</v>
      </c>
      <c r="B15" s="20">
        <f>B13*B14</f>
        <v>964123426.1389462</v>
      </c>
      <c r="C15" s="20">
        <f>C13*C14</f>
        <v>841977457.6707793</v>
      </c>
      <c r="D15" s="20">
        <f>D13*D14</f>
        <v>735306310.3806188</v>
      </c>
      <c r="E15" s="20">
        <f>E13*E14</f>
        <v>642149460.3682932</v>
      </c>
      <c r="F15" s="20">
        <f>F13*F14</f>
        <v>560794764.8889909</v>
      </c>
    </row>
    <row r="17" spans="1:2" x14ac:dyDescent="0.25">
      <c r="A17" s="22" t="s">
        <v>52</v>
      </c>
      <c r="B17" s="23">
        <f>SUM(B15:F15)</f>
        <v>3744351419.4476285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703527935.9654151</v>
      </c>
    </row>
    <row r="5" spans="1:2" x14ac:dyDescent="0.25">
      <c r="A5" t="s">
        <v>56</v>
      </c>
      <c r="B5" s="18">
        <f>IF(Assumptions!$B$33=0,B4,B4-Forecast!F11-Forecast!F10-Forecast!F12)</f>
        <v>1215691987.693524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0.31345522987047575</v>
      </c>
    </row>
    <row r="7" spans="1:2" x14ac:dyDescent="0.25">
      <c r="A7" t="s">
        <v>58</v>
      </c>
      <c r="B7" s="18">
        <f>-MAX(Forecast!F9,0)*B6</f>
        <v>-381065011.4541691</v>
      </c>
    </row>
    <row r="8" spans="1:2" x14ac:dyDescent="0.25">
      <c r="A8" t="s">
        <v>59</v>
      </c>
      <c r="B8" s="18">
        <f>IF(OR(Assumptions!$B$33=0,Assumptions!B12&lt;=0),B5,MAX(B5+B7,0))</f>
        <v>834626976.2393548</v>
      </c>
    </row>
    <row r="9" spans="1:2" x14ac:dyDescent="0.25">
      <c r="A9" t="s">
        <v>60</v>
      </c>
      <c r="B9" s="18">
        <f>B8*(1+Assumptions!B12)/(Assumptions!B26-Assumptions!B12)</f>
        <v>32064211598.08056</v>
      </c>
    </row>
    <row r="10" spans="1:2" x14ac:dyDescent="0.25">
      <c r="A10" t="s">
        <v>61</v>
      </c>
      <c r="B10" s="18">
        <f>B9/(1+Assumptions!B26)^(5-0.5*Assumptions!B32)</f>
        <v>25558959474.468395</v>
      </c>
    </row>
    <row r="11" spans="1:2" x14ac:dyDescent="0.25">
      <c r="A11" t="s">
        <v>62</v>
      </c>
      <c r="B11" s="18">
        <f>Forecast!B17+B10</f>
        <v>29303310893.916023</v>
      </c>
    </row>
    <row r="12" spans="1:2" x14ac:dyDescent="0.25">
      <c r="A12" t="s">
        <v>63</v>
      </c>
      <c r="B12" s="18">
        <f>-Assumptions!B30</f>
        <v>-10675000000</v>
      </c>
    </row>
    <row r="13" spans="1:2" x14ac:dyDescent="0.25">
      <c r="A13" t="s">
        <v>64</v>
      </c>
      <c r="B13" s="18">
        <f>B11+B12</f>
        <v>18628310893.916023</v>
      </c>
    </row>
    <row r="14" spans="1:2" x14ac:dyDescent="0.25">
      <c r="A14" s="19" t="s">
        <v>65</v>
      </c>
      <c r="B14" s="24">
        <f>B13/Assumptions!B31</f>
        <v>73.97689275690712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1876228746.881131</v>
      </c>
    </row>
    <row r="18" spans="1:2" x14ac:dyDescent="0.25">
      <c r="A18" t="s">
        <v>60</v>
      </c>
      <c r="B18" s="18">
        <f>B17*Assumptions!B13</f>
        <v>17030709489.476484</v>
      </c>
    </row>
    <row r="19" spans="1:2" x14ac:dyDescent="0.25">
      <c r="A19" t="s">
        <v>61</v>
      </c>
      <c r="B19" s="18">
        <f>B18/(1+Assumptions!B26)^(5-0.5*Assumptions!B32)</f>
        <v>13575484690.50869</v>
      </c>
    </row>
    <row r="20" spans="1:2" x14ac:dyDescent="0.25">
      <c r="A20" t="s">
        <v>62</v>
      </c>
      <c r="B20" s="18">
        <f>Forecast!B17+B19</f>
        <v>17319836109.956318</v>
      </c>
    </row>
    <row r="21" spans="1:2" x14ac:dyDescent="0.25">
      <c r="A21" t="s">
        <v>63</v>
      </c>
      <c r="B21" s="18">
        <f>-Assumptions!B30</f>
        <v>-10675000000</v>
      </c>
    </row>
    <row r="22" spans="1:2" x14ac:dyDescent="0.25">
      <c r="A22" t="s">
        <v>64</v>
      </c>
      <c r="B22" s="18">
        <f>B20+B21</f>
        <v>6644836109.956318</v>
      </c>
    </row>
    <row r="23" spans="1:2" x14ac:dyDescent="0.25">
      <c r="A23" s="19" t="s">
        <v>65</v>
      </c>
      <c r="B23" s="25">
        <f>B22/Assumptions!B31</f>
        <v>26.388024716401233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59.44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73.97689275690712</v>
      </c>
    </row>
    <row r="29" spans="1:2" x14ac:dyDescent="0.25">
      <c r="A29" s="19" t="s">
        <v>73</v>
      </c>
      <c r="B29" s="12">
        <f>B28/B26-1</f>
        <v>0.24456414463168108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0.031681</v>
      </c>
      <c r="B5" s="31">
        <v>180.4110962660598</v>
      </c>
      <c r="C5" s="31">
        <v>247.62583791792358</v>
      </c>
      <c r="D5" s="31">
        <v>415.05269830740576</v>
      </c>
      <c r="E5" s="31">
        <v>1576.9104645042703</v>
      </c>
      <c r="F5" s="31" t="s">
        <v>76</v>
      </c>
    </row>
    <row r="6" spans="1:6" x14ac:dyDescent="0.25">
      <c r="A6" s="30">
        <v>0.041681</v>
      </c>
      <c r="B6" s="31">
        <v>96.88407169934452</v>
      </c>
      <c r="C6" s="31">
        <v>114.40387962108002</v>
      </c>
      <c r="D6" s="31">
        <v>142.2755585104917</v>
      </c>
      <c r="E6" s="31">
        <v>193.79232508833476</v>
      </c>
      <c r="F6" s="31">
        <v>322.04148893797577</v>
      </c>
    </row>
    <row r="7" spans="1:6" x14ac:dyDescent="0.25">
      <c r="A7" s="30">
        <v>0.051681</v>
      </c>
      <c r="B7" s="31">
        <v>58.93586545026638</v>
      </c>
      <c r="C7" s="31">
        <v>65.30683683733402</v>
      </c>
      <c r="D7" s="32">
        <v>73.97521758899029</v>
      </c>
      <c r="E7" s="31">
        <v>86.5304703900204</v>
      </c>
      <c r="F7" s="31">
        <v>106.46777423092894</v>
      </c>
    </row>
    <row r="8" spans="1:6" x14ac:dyDescent="0.25">
      <c r="A8" s="30">
        <v>0.061681</v>
      </c>
      <c r="B8" s="31">
        <v>37.27274237457813</v>
      </c>
      <c r="C8" s="31">
        <v>39.784161349743734</v>
      </c>
      <c r="D8" s="31">
        <v>42.917216582132745</v>
      </c>
      <c r="E8" s="31">
        <v>46.96623413021403</v>
      </c>
      <c r="F8" s="31">
        <v>52.446166009855915</v>
      </c>
    </row>
    <row r="9" spans="1:6" x14ac:dyDescent="0.25">
      <c r="A9" s="30">
        <v>0.071681</v>
      </c>
      <c r="B9" s="31">
        <v>23.27379527803243</v>
      </c>
      <c r="C9" s="31">
        <v>24.150237982298773</v>
      </c>
      <c r="D9" s="31">
        <v>25.166951522917557</v>
      </c>
      <c r="E9" s="31">
        <v>26.374416035808885</v>
      </c>
      <c r="F9" s="31">
        <v>27.850635517158516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9403000000</v>
      </c>
      <c r="C5" s="18">
        <v>10959000000</v>
      </c>
      <c r="D5" s="18">
        <v>11598000000</v>
      </c>
      <c r="E5" s="18">
        <v>12137000000</v>
      </c>
      <c r="F5" s="8" t="s">
        <v>85</v>
      </c>
    </row>
    <row r="6" spans="1:6" x14ac:dyDescent="0.25">
      <c r="A6" t="s">
        <v>44</v>
      </c>
      <c r="B6" s="18">
        <v>2412000000</v>
      </c>
      <c r="C6" s="18">
        <v>2941000000</v>
      </c>
      <c r="D6" s="18">
        <v>3109000000</v>
      </c>
      <c r="E6" s="18">
        <v>3320000000</v>
      </c>
      <c r="F6" s="8" t="s">
        <v>86</v>
      </c>
    </row>
    <row r="7" spans="1:6" x14ac:dyDescent="0.25">
      <c r="A7" t="s">
        <v>87</v>
      </c>
      <c r="B7" s="18">
        <v>413000000</v>
      </c>
      <c r="C7" s="18">
        <v>422000000</v>
      </c>
      <c r="D7" s="18">
        <v>441000000</v>
      </c>
      <c r="E7" s="18">
        <v>417000000</v>
      </c>
      <c r="F7" s="8" t="s">
        <v>88</v>
      </c>
    </row>
    <row r="8" spans="1:6" x14ac:dyDescent="0.25">
      <c r="A8" t="s">
        <v>89</v>
      </c>
      <c r="B8" s="18">
        <v>391000000</v>
      </c>
      <c r="C8" s="18">
        <v>667000000</v>
      </c>
      <c r="D8" s="18">
        <v>773000000</v>
      </c>
      <c r="E8" s="18">
        <v>702000000</v>
      </c>
      <c r="F8" s="8" t="s">
        <v>90</v>
      </c>
    </row>
    <row r="9" spans="1:6" x14ac:dyDescent="0.25">
      <c r="A9" t="s">
        <v>91</v>
      </c>
      <c r="B9" s="18">
        <v>241000000</v>
      </c>
      <c r="C9" s="18">
        <v>470000000</v>
      </c>
      <c r="D9" s="18">
        <v>768000000</v>
      </c>
      <c r="E9" s="18">
        <v>568000000</v>
      </c>
      <c r="F9" s="8" t="s">
        <v>92</v>
      </c>
    </row>
    <row r="10" spans="1:6" x14ac:dyDescent="0.25">
      <c r="A10" t="s">
        <v>93</v>
      </c>
      <c r="B10" s="18">
        <v>12668000000</v>
      </c>
      <c r="C10" s="18">
        <v>12589000000</v>
      </c>
      <c r="D10" s="18">
        <v>13618000000</v>
      </c>
      <c r="E10" s="18">
        <v>11870000000</v>
      </c>
      <c r="F10" s="8" t="s">
        <v>94</v>
      </c>
    </row>
    <row r="11" spans="1:6" x14ac:dyDescent="0.25">
      <c r="A11" t="s">
        <v>95</v>
      </c>
      <c r="B11" s="18">
        <v>1993000000</v>
      </c>
      <c r="C11" s="18">
        <v>1829000000</v>
      </c>
      <c r="D11" s="18">
        <v>2683000000</v>
      </c>
      <c r="E11" s="18">
        <v>1609000000</v>
      </c>
      <c r="F11" s="8" t="s">
        <v>96</v>
      </c>
    </row>
    <row r="12" spans="1:6" x14ac:dyDescent="0.25">
      <c r="A12" t="s">
        <v>32</v>
      </c>
      <c r="B12" s="34">
        <v>251812562</v>
      </c>
      <c r="C12" s="34">
        <v>252011273</v>
      </c>
      <c r="D12" s="34">
        <v>253188307</v>
      </c>
      <c r="E12" s="34">
        <v>256878253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2026-09-19T01:04:53Z</dcterms:modified>
</cp:coreProperties>
</file>