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<sst xmlns="http://schemas.openxmlformats.org/spreadsheetml/2006/main" count="113" uniqueCount="101">
  <si>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Rio Tinto Group (RIO.AX)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</si>
  <si>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</si>
  <si>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</si>
  <si>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</si>
  <si>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</si>
  <si>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</si>
  <si>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</si>
  <si>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</si>
  <si>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</si>
  <si>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</si>
  <si>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</si>
  <si>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</si>
  <si>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</si>
  <si>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</si>
  <si>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</si>
  <si>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</si>
  <si>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</si>
  <si>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</si>
  <si>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</si>
  <si>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</si>
  <si>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</si>
  <si>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</si>
  <si>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</si>
  <si>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</si>
  <si>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</si>
  <si>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</si>
  <si>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</si>
  <si>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</si>
  <si>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</si>
  <si>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</si>
  <si>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</si>
  <si>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</si>
  <si>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</si>
  <si>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</si>
  <si>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</si>
  <si>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</si>
  <si>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</si>
  <si>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</si>
  <si>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</si>
  <si>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</si>
  <si>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</si>
  <si>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</si>
  <si>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</si>
  <si>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</si>
  <si>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</si>
  <si>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</si>
  <si>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</si>
  <si>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</si>
  <si>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</si>
  <si>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</si>
  <si>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</si>
  <si>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</si>
  <si>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</si>
  <si>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</si>
  <si>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</si>
  <si>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</si>
  <si>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</si>
  <si>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</si>
  <si>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</si>
  <si>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</si>
  <si>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</si>
  <si>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</si>
  <si>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</si>
  <si>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</si>
  <si>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</si>
  <si>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</si>
  <si>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</si>
  <si>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</si>
  <si>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</si>
  <si>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</si>
  <si>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</si>
  <si>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</si>
  <si>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</si>
  <si>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</si>
  <si>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</si>
  <si>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</si>
  <si>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</si>
  <si>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</si>
  <si>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</si>
  <si>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</si>
  <si>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</si>
  <si>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</si>
  <si>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</si>
  <si>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</si>
  <si>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</si>
  <si>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</si>
  <si>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</si>
  <si>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</si>
  <si>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</si>
  <si>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</si>
  <si>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</si>
  <si>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</si>
  <si>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</si>
  <si>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</si>
  <si>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</si>
  <si>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</si>
  <si>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</si>
  <si>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</si>
  <si>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</si>
  <si>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Capital expenditure runs at 16.1% of revenue against depreciation of 10.3%.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</si>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</sst>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0.012351170642700415</v>
      </c>
    </row>
    <row r="7" spans="1:2" x14ac:dyDescent="0.25">
      <c r="A7" t="s">
        <v>5</v>
      </c>
      <c r="B7" s="6">
        <v>0.2959360954155161</v>
      </c>
    </row>
    <row r="8" spans="1:2" x14ac:dyDescent="0.25">
      <c r="A8" t="s">
        <v>6</v>
      </c>
      <c r="B8" s="6">
        <v>0.28722751701674154</v>
      </c>
    </row>
    <row r="9" spans="1:2" x14ac:dyDescent="0.25">
      <c r="A9" t="s">
        <v>7</v>
      </c>
      <c r="B9" s="6">
        <v>0.10332130311449328</v>
      </c>
    </row>
    <row r="10" spans="1:2" x14ac:dyDescent="0.25">
      <c r="A10" t="s">
        <v>8</v>
      </c>
      <c r="B10" s="6">
        <v>0.16148410885758718</v>
      </c>
    </row>
    <row r="11" spans="1:2" x14ac:dyDescent="0.25">
      <c r="A11" t="s">
        <v>9</v>
      </c>
      <c r="B11" s="6">
        <v>0.061306532663316586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13.088401199364359</v>
      </c>
    </row>
    <row r="14" spans="1:3" x14ac:dyDescent="0.25">
      <c r="A14" t="s">
        <v>12</v>
      </c>
      <c r="B14" s="6">
        <v>0.16068908236735424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0.77488</v>
      </c>
      <c r="C19" s="8" t="s">
        <v>19</v>
      </c>
    </row>
    <row r="20" spans="1:2" x14ac:dyDescent="0.25">
      <c r="A20" t="s">
        <v>20</v>
      </c>
      <c r="B20" s="10">
        <f>B17+B19*B18</f>
        <v>0.0999728</v>
      </c>
    </row>
    <row r="21" spans="1:3" x14ac:dyDescent="0.25">
      <c r="A21" t="s">
        <v>21</v>
      </c>
      <c r="B21" s="6">
        <v>0.09788076634913839</v>
      </c>
      <c r="C21" s="8" t="s">
        <v>22</v>
      </c>
    </row>
    <row r="22" spans="1:2" x14ac:dyDescent="0.25">
      <c r="A22" t="s">
        <v>23</v>
      </c>
      <c r="B22" s="11">
        <v>272207036416</v>
      </c>
    </row>
    <row r="23" spans="1:2" x14ac:dyDescent="0.25">
      <c r="A23" t="s">
        <v>24</v>
      </c>
      <c r="B23" s="11">
        <v>23517000000</v>
      </c>
    </row>
    <row r="24" spans="1:2" x14ac:dyDescent="0.25">
      <c r="A24" t="s">
        <v>25</v>
      </c>
      <c r="B24" s="10">
        <f>B22/(B22+B23)</f>
        <v>0.9204765352014936</v>
      </c>
    </row>
    <row r="25" spans="1:2" x14ac:dyDescent="0.25">
      <c r="A25" t="s">
        <v>26</v>
      </c>
      <c r="B25" s="10">
        <f>1-B24</f>
        <v>0.07952346479850636</v>
      </c>
    </row>
    <row r="26" spans="1:2" x14ac:dyDescent="0.25">
      <c r="A26" t="s">
        <v>27</v>
      </c>
      <c r="B26" s="12">
        <f>B24*B20+B25*B21*(1-B8)</f>
        <v>0.0975707076112705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57638000000</v>
      </c>
      <c r="C29" s="8" t="s">
        <v>30</v>
      </c>
    </row>
    <row r="30" spans="1:2" x14ac:dyDescent="0.25">
      <c r="A30" t="s">
        <v>31</v>
      </c>
      <c r="B30" s="11">
        <v>16065000000</v>
      </c>
    </row>
    <row r="31" spans="1:2" x14ac:dyDescent="0.25">
      <c r="A31" t="s">
        <v>32</v>
      </c>
      <c r="B31" s="13">
        <v>1638000000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0.012351170642700415</v>
      </c>
      <c r="C5" s="10">
        <f>Assumptions!B6</f>
        <v>0.012351170642700415</v>
      </c>
      <c r="D5" s="10">
        <f>Assumptions!B6</f>
        <v>0.012351170642700415</v>
      </c>
      <c r="E5" s="10">
        <f>Assumptions!B6</f>
        <v>0.012351170642700415</v>
      </c>
      <c r="F5" s="10">
        <f>Assumptions!B6</f>
        <v>0.012351170642700415</v>
      </c>
    </row>
    <row r="6" spans="1:6" x14ac:dyDescent="0.25">
      <c r="A6" t="s">
        <v>43</v>
      </c>
      <c r="B6" s="18">
        <f>Assumptions!B29*(1+B5)</f>
        <v>58349896773.50397</v>
      </c>
      <c r="C6" s="18">
        <f>B6*(1+C5)</f>
        <v>59070586305.53747</v>
      </c>
      <c r="D6" s="18">
        <f>C6*(1+D5)</f>
        <v>59800177196.961525</v>
      </c>
      <c r="E6" s="18">
        <f>D6*(1+E5)</f>
        <v>60538779389.98492</v>
      </c>
      <c r="F6" s="18">
        <f>E6*(1+F5)</f>
        <v>61286504184.731415</v>
      </c>
    </row>
    <row r="7" spans="1:6" x14ac:dyDescent="0.25">
      <c r="A7" t="s">
        <v>5</v>
      </c>
      <c r="B7" s="10">
        <f>Assumptions!B7</f>
        <v>0.2959360954155161</v>
      </c>
      <c r="C7" s="10">
        <f>Assumptions!B7</f>
        <v>0.2959360954155161</v>
      </c>
      <c r="D7" s="10">
        <f>Assumptions!B7</f>
        <v>0.2959360954155161</v>
      </c>
      <c r="E7" s="10">
        <f>Assumptions!B7</f>
        <v>0.2959360954155161</v>
      </c>
      <c r="F7" s="10">
        <f>Assumptions!B7</f>
        <v>0.2959360954155161</v>
      </c>
    </row>
    <row r="8" spans="1:6" x14ac:dyDescent="0.25">
      <c r="A8" t="s">
        <v>44</v>
      </c>
      <c r="B8" s="18">
        <f>B6*B7</f>
        <v>17267840619.049183</v>
      </c>
      <c r="C8" s="18">
        <f>C6*C7</f>
        <v>17481118665.16601</v>
      </c>
      <c r="D8" s="18">
        <f>D6*D7</f>
        <v>17697030944.824776</v>
      </c>
      <c r="E8" s="18">
        <f>E6*E7</f>
        <v>17915609993.893456</v>
      </c>
      <c r="F8" s="18">
        <f>F6*F7</f>
        <v>18136888750.0961</v>
      </c>
    </row>
    <row r="9" spans="1:6" x14ac:dyDescent="0.25">
      <c r="A9" t="s">
        <v>45</v>
      </c>
      <c r="B9" s="18">
        <f>B8*(1-Assumptions!B8)</f>
        <v>12308041633.798853</v>
      </c>
      <c r="C9" s="18">
        <f>C8*(1-Assumptions!B8)</f>
        <v>12460060356.295362</v>
      </c>
      <c r="D9" s="18">
        <f>D8*(1-Assumptions!B8)</f>
        <v>12613956687.974316</v>
      </c>
      <c r="E9" s="18">
        <f>E8*(1-Assumptions!B8)</f>
        <v>12769753819.507118</v>
      </c>
      <c r="F9" s="18">
        <f>F8*(1-Assumptions!B8)</f>
        <v>12927475227.997124</v>
      </c>
    </row>
    <row r="10" spans="1:6" x14ac:dyDescent="0.25">
      <c r="A10" t="s">
        <v>46</v>
      </c>
      <c r="B10" s="18">
        <f>B6*Assumptions!B9</f>
        <v>6028787371.234597</v>
      </c>
      <c r="C10" s="18">
        <f>C6*Assumptions!B9</f>
        <v>6103249952.825273</v>
      </c>
      <c r="D10" s="18">
        <f>D6*Assumptions!B9</f>
        <v>6178632234.46767</v>
      </c>
      <c r="E10" s="18">
        <f>E6*Assumptions!B9</f>
        <v>6254945575.53407</v>
      </c>
      <c r="F10" s="18">
        <f>F6*Assumptions!B9</f>
        <v>6332201475.698296</v>
      </c>
    </row>
    <row r="11" spans="1:6" x14ac:dyDescent="0.25">
      <c r="A11" t="s">
        <v>47</v>
      </c>
      <c r="B11" s="18">
        <f>-B6*Assumptions!B10</f>
        <v>-9422581082.40149</v>
      </c>
      <c r="C11" s="18">
        <f>-C6*Assumptions!B10</f>
        <v>-9538960989.244911</v>
      </c>
      <c r="D11" s="18">
        <f>-D6*Assumptions!B10</f>
        <v>-9656778324.177137</v>
      </c>
      <c r="E11" s="18">
        <f>-E6*Assumptions!B10</f>
        <v>-9776050841.117779</v>
      </c>
      <c r="F11" s="18">
        <f>-F6*Assumptions!B10</f>
        <v>-9896796513.26814</v>
      </c>
    </row>
    <row r="12" spans="1:6" x14ac:dyDescent="0.25">
      <c r="A12" t="s">
        <v>48</v>
      </c>
      <c r="B12" s="18">
        <f>-(B6-Assumptions!B29)*Assumptions!B11</f>
        <v>-43643922.79773066</v>
      </c>
      <c r="C12" s="18">
        <f>-(C6-B6)*Assumptions!B11</f>
        <v>-44182976.335722156</v>
      </c>
      <c r="D12" s="18">
        <f>-(D6-C6)*Assumptions!B11</f>
        <v>-44728687.81594721</v>
      </c>
      <c r="E12" s="18">
        <f>-(E6-D6)*Assumptions!B11</f>
        <v>-45281139.47178583</v>
      </c>
      <c r="F12" s="18">
        <f>-(F6-E6)*Assumptions!B11</f>
        <v>-45840414.552297875</v>
      </c>
    </row>
    <row r="13" spans="1:6" x14ac:dyDescent="0.25">
      <c r="A13" s="19" t="s">
        <v>49</v>
      </c>
      <c r="B13" s="20">
        <f>B9+B10+B11+B12</f>
        <v>8870603999.83423</v>
      </c>
      <c r="C13" s="20">
        <f>C9+C10+C11+C12</f>
        <v>8980166343.540003</v>
      </c>
      <c r="D13" s="20">
        <f>D9+D10+D11+D12</f>
        <v>9091081910.448902</v>
      </c>
      <c r="E13" s="20">
        <f>E9+E10+E11+E12</f>
        <v>9203367414.451622</v>
      </c>
      <c r="F13" s="20">
        <f>F9+F10+F11+F12</f>
        <v>9317039775.87498</v>
      </c>
    </row>
    <row r="14" spans="1:6" x14ac:dyDescent="0.25">
      <c r="A14" t="s">
        <v>50</v>
      </c>
      <c r="B14" s="21">
        <f>1/(1+Assumptions!$B$26)^(1-0.5*Assumptions!$B$32)</f>
        <v>0.9545171724070792</v>
      </c>
      <c r="C14" s="21">
        <f>1/(1+Assumptions!$B$26)^(2-0.5*Assumptions!$B$32)</f>
        <v>0.8696634902770594</v>
      </c>
      <c r="D14" s="21">
        <f>1/(1+Assumptions!$B$26)^(3-0.5*Assumptions!$B$32)</f>
        <v>0.7923530431763951</v>
      </c>
      <c r="E14" s="21">
        <f>1/(1+Assumptions!$B$26)^(4-0.5*Assumptions!$B$32)</f>
        <v>0.7219152603852332</v>
      </c>
      <c r="F14" s="21">
        <f>1/(1+Assumptions!$B$26)^(5-0.5*Assumptions!$B$32)</f>
        <v>0.6577391828872641</v>
      </c>
    </row>
    <row r="15" spans="1:6" x14ac:dyDescent="0.25">
      <c r="A15" s="19" t="s">
        <v>51</v>
      </c>
      <c r="B15" s="20">
        <f>B13*B14</f>
        <v>8467143847.464697</v>
      </c>
      <c r="C15" s="20">
        <f>C13*C14</f>
        <v>7809722805.591577</v>
      </c>
      <c r="D15" s="20">
        <f>D13*D14</f>
        <v>7203346417.510063</v>
      </c>
      <c r="E15" s="20">
        <f>E13*E14</f>
        <v>6644051383.424813</v>
      </c>
      <c r="F15" s="20">
        <f>F13*F14</f>
        <v>6128182129.112148</v>
      </c>
    </row>
    <row r="17" spans="1:2" x14ac:dyDescent="0.25">
      <c r="A17" s="22" t="s">
        <v>52</v>
      </c>
      <c r="B17" s="23">
        <f>SUM(B15:F15)</f>
        <v>36252446583.1033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9317039775.87498</v>
      </c>
    </row>
    <row r="5" spans="1:2" x14ac:dyDescent="0.25">
      <c r="A5" t="s">
        <v>56</v>
      </c>
      <c r="B5" s="18">
        <f>IF(Assumptions!$B$33=0,B4,B4-Forecast!F11-Forecast!F10-Forecast!F12)</f>
        <v>13070992165.524315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0.15557995373230799</v>
      </c>
    </row>
    <row r="7" spans="1:2" x14ac:dyDescent="0.25">
      <c r="A7" t="s">
        <v>58</v>
      </c>
      <c r="B7" s="18">
        <f>-MAX(Forecast!F9,0)*B6</f>
        <v>-2033584356.3476331</v>
      </c>
    </row>
    <row r="8" spans="1:2" x14ac:dyDescent="0.25">
      <c r="A8" t="s">
        <v>59</v>
      </c>
      <c r="B8" s="18">
        <f>IF(OR(Assumptions!$B$33=0,Assumptions!B12&lt;=0),B5,MAX(B5+B7,0))</f>
        <v>11037407809.176682</v>
      </c>
    </row>
    <row r="9" spans="1:2" x14ac:dyDescent="0.25">
      <c r="A9" t="s">
        <v>60</v>
      </c>
      <c r="B9" s="18">
        <f>B8*(1+Assumptions!B12)/(Assumptions!B26-Assumptions!B12)</f>
        <v>155894070442.39838</v>
      </c>
    </row>
    <row r="10" spans="1:2" x14ac:dyDescent="0.25">
      <c r="A10" t="s">
        <v>61</v>
      </c>
      <c r="B10" s="18">
        <f>B9/(1+Assumptions!B26)^(5-0.5*Assumptions!B32)</f>
        <v>102537638509.7527</v>
      </c>
    </row>
    <row r="11" spans="1:2" x14ac:dyDescent="0.25">
      <c r="A11" t="s">
        <v>62</v>
      </c>
      <c r="B11" s="18">
        <f>Forecast!B17+B10</f>
        <v>138790085092.85602</v>
      </c>
    </row>
    <row r="12" spans="1:2" x14ac:dyDescent="0.25">
      <c r="A12" t="s">
        <v>63</v>
      </c>
      <c r="B12" s="18">
        <f>-Assumptions!B30</f>
        <v>-16065000000</v>
      </c>
    </row>
    <row r="13" spans="1:2" x14ac:dyDescent="0.25">
      <c r="A13" t="s">
        <v>64</v>
      </c>
      <c r="B13" s="18">
        <f>B11+B12</f>
        <v>122725085092.85602</v>
      </c>
    </row>
    <row r="14" spans="1:2" x14ac:dyDescent="0.25">
      <c r="A14" s="19" t="s">
        <v>65</v>
      </c>
      <c r="B14" s="24">
        <f>B13/Assumptions!B31</f>
        <v>74.92373937292797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24469090225.794395</v>
      </c>
    </row>
    <row r="18" spans="1:2" x14ac:dyDescent="0.25">
      <c r="A18" t="s">
        <v>60</v>
      </c>
      <c r="B18" s="18">
        <f>B17*Assumptions!B13</f>
        <v>320261269858.6421</v>
      </c>
    </row>
    <row r="19" spans="1:2" x14ac:dyDescent="0.25">
      <c r="A19" t="s">
        <v>61</v>
      </c>
      <c r="B19" s="18">
        <f>B18/(1+Assumptions!B26)^(5-0.5*Assumptions!B32)</f>
        <v>210648385947.26083</v>
      </c>
    </row>
    <row r="20" spans="1:2" x14ac:dyDescent="0.25">
      <c r="A20" t="s">
        <v>62</v>
      </c>
      <c r="B20" s="18">
        <f>Forecast!B17+B19</f>
        <v>246900832530.36414</v>
      </c>
    </row>
    <row r="21" spans="1:2" x14ac:dyDescent="0.25">
      <c r="A21" t="s">
        <v>63</v>
      </c>
      <c r="B21" s="18">
        <f>-Assumptions!B30</f>
        <v>-16065000000</v>
      </c>
    </row>
    <row r="22" spans="1:2" x14ac:dyDescent="0.25">
      <c r="A22" t="s">
        <v>64</v>
      </c>
      <c r="B22" s="18">
        <f>B20+B21</f>
        <v>230835832530.36414</v>
      </c>
    </row>
    <row r="23" spans="1:2" x14ac:dyDescent="0.25">
      <c r="A23" s="19" t="s">
        <v>65</v>
      </c>
      <c r="B23" s="25">
        <f>B22/Assumptions!B31</f>
        <v>140.925416685204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167.49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105.20791482746544</v>
      </c>
    </row>
    <row r="29" spans="1:2" x14ac:dyDescent="0.25">
      <c r="A29" s="19" t="s">
        <v>73</v>
      </c>
      <c r="B29" s="12">
        <f>B28/B26-1</f>
        <v>-0.37185554464466275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0.077571</v>
      </c>
      <c r="B5" s="31">
        <v>97.15848583108082</v>
      </c>
      <c r="C5" s="31">
        <v>101.74688558971617</v>
      </c>
      <c r="D5" s="31">
        <v>107.17433964549822</v>
      </c>
      <c r="E5" s="31">
        <v>113.70541705220357</v>
      </c>
      <c r="F5" s="31">
        <v>121.72898230124301</v>
      </c>
    </row>
    <row r="6" spans="1:6" x14ac:dyDescent="0.25">
      <c r="A6" s="30">
        <v>0.087571</v>
      </c>
      <c r="B6" s="31">
        <v>82.16038192841778</v>
      </c>
      <c r="C6" s="31">
        <v>85.09036828847368</v>
      </c>
      <c r="D6" s="31">
        <v>88.46142195614529</v>
      </c>
      <c r="E6" s="31">
        <v>92.3884620680506</v>
      </c>
      <c r="F6" s="31">
        <v>97.03012735397425</v>
      </c>
    </row>
    <row r="7" spans="1:6" x14ac:dyDescent="0.25">
      <c r="A7" s="30">
        <v>0.097571</v>
      </c>
      <c r="B7" s="31">
        <v>70.82054461113617</v>
      </c>
      <c r="C7" s="31">
        <v>72.75026942738413</v>
      </c>
      <c r="D7" s="32">
        <v>74.9233983282017</v>
      </c>
      <c r="E7" s="31">
        <v>77.3939642754889</v>
      </c>
      <c r="F7" s="31">
        <v>80.23327115917948</v>
      </c>
    </row>
    <row r="8" spans="1:6" x14ac:dyDescent="0.25">
      <c r="A8" s="30">
        <v>0.107571</v>
      </c>
      <c r="B8" s="31">
        <v>61.95204431414171</v>
      </c>
      <c r="C8" s="31">
        <v>63.24667962195768</v>
      </c>
      <c r="D8" s="31">
        <v>64.67911751157406</v>
      </c>
      <c r="E8" s="31">
        <v>66.27600503829518</v>
      </c>
      <c r="F8" s="31">
        <v>68.07133297745234</v>
      </c>
    </row>
    <row r="9" spans="1:6" x14ac:dyDescent="0.25">
      <c r="A9" s="30">
        <v>0.117571</v>
      </c>
      <c r="B9" s="31">
        <v>54.830905687372095</v>
      </c>
      <c r="C9" s="31">
        <v>55.706462021421274</v>
      </c>
      <c r="D9" s="31">
        <v>56.66033507622257</v>
      </c>
      <c r="E9" s="31">
        <v>57.70593969015039</v>
      </c>
      <c r="F9" s="31">
        <v>58.85993998725431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57638000000</v>
      </c>
      <c r="C5" s="18">
        <v>53658000000</v>
      </c>
      <c r="D5" s="18">
        <v>54041000000</v>
      </c>
      <c r="E5" s="18">
        <v>55554000000</v>
      </c>
      <c r="F5" s="8" t="s">
        <v>84</v>
      </c>
    </row>
    <row r="6" spans="1:6" x14ac:dyDescent="0.25">
      <c r="A6" t="s">
        <v>44</v>
      </c>
      <c r="B6" s="18">
        <v>15448000000</v>
      </c>
      <c r="C6" s="18">
        <v>14784000000</v>
      </c>
      <c r="D6" s="18">
        <v>15712000000</v>
      </c>
      <c r="E6" s="18">
        <v>19414000000</v>
      </c>
      <c r="F6" s="8" t="s">
        <v>85</v>
      </c>
    </row>
    <row r="7" spans="1:6" x14ac:dyDescent="0.25">
      <c r="A7" t="s">
        <v>86</v>
      </c>
      <c r="B7" s="18">
        <v>6577000000</v>
      </c>
      <c r="C7" s="18">
        <v>5918000000</v>
      </c>
      <c r="D7" s="18">
        <v>5334000000</v>
      </c>
      <c r="E7" s="18">
        <v>5010000000</v>
      </c>
      <c r="F7" s="8" t="s">
        <v>87</v>
      </c>
    </row>
    <row r="8" spans="1:6" x14ac:dyDescent="0.25">
      <c r="A8" t="s">
        <v>88</v>
      </c>
      <c r="B8" s="18">
        <v>12335000000</v>
      </c>
      <c r="C8" s="18">
        <v>9621000000</v>
      </c>
      <c r="D8" s="18">
        <v>7086000000</v>
      </c>
      <c r="E8" s="18">
        <v>6750000000</v>
      </c>
      <c r="F8" s="8" t="s">
        <v>89</v>
      </c>
    </row>
    <row r="9" spans="1:6" x14ac:dyDescent="0.25">
      <c r="A9" t="s">
        <v>90</v>
      </c>
      <c r="B9" s="18">
        <v>244000000</v>
      </c>
      <c r="C9" s="18">
        <v>-57000000</v>
      </c>
      <c r="D9" s="18">
        <v>926000000</v>
      </c>
      <c r="E9" s="18">
        <v>465000000</v>
      </c>
      <c r="F9" s="8" t="s">
        <v>91</v>
      </c>
    </row>
    <row r="10" spans="1:6" x14ac:dyDescent="0.25">
      <c r="A10" t="s">
        <v>92</v>
      </c>
      <c r="B10" s="18">
        <v>23517000000</v>
      </c>
      <c r="C10" s="18">
        <v>13855000000</v>
      </c>
      <c r="D10" s="18">
        <v>14352000000</v>
      </c>
      <c r="E10" s="18">
        <v>12271000000</v>
      </c>
      <c r="F10" s="8" t="s">
        <v>93</v>
      </c>
    </row>
    <row r="11" spans="1:6" x14ac:dyDescent="0.25">
      <c r="A11" t="s">
        <v>94</v>
      </c>
      <c r="B11" s="18">
        <v>7452000000</v>
      </c>
      <c r="C11" s="18">
        <v>7200000000</v>
      </c>
      <c r="D11" s="18">
        <v>9776000000</v>
      </c>
      <c r="E11" s="18">
        <v>7940000000</v>
      </c>
      <c r="F11" s="8" t="s">
        <v>95</v>
      </c>
    </row>
    <row r="12" spans="1:6" x14ac:dyDescent="0.25">
      <c r="A12" t="s">
        <v>32</v>
      </c>
      <c r="B12" s="34">
        <v>1638000000</v>
      </c>
      <c r="C12" s="34">
        <v>1633484163</v>
      </c>
      <c r="D12" s="34">
        <v>1631467964</v>
      </c>
      <c r="E12" s="34">
        <v>1619800000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