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<sst xmlns="http://schemas.openxmlformats.org/spreadsheetml/2006/main" count="70" uniqueCount="67">
  <si>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Raymond James Financial, Inc. (RJF)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</si>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</sst>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0.96382</v>
      </c>
    </row>
    <row r="9" spans="1:2" x14ac:dyDescent="0.25">
      <c r="A9" t="s">
        <v>8</v>
      </c>
      <c r="B9" s="8">
        <f>B6+B8*B7</f>
        <v>0.08970958600000001</v>
      </c>
    </row>
    <row r="10" spans="1:2" x14ac:dyDescent="0.25">
      <c r="A10" t="s">
        <v>9</v>
      </c>
      <c r="B10" s="8">
        <f>MEDIAN('Source data'!B9:E9)</f>
        <v>0.1850503319768687</v>
      </c>
    </row>
    <row r="11" spans="1:2" x14ac:dyDescent="0.25">
      <c r="A11" t="s">
        <v>10</v>
      </c>
      <c r="B11" s="8">
        <f>IFERROR(MIN(MAX(MEDIAN('Source data'!B10:E10),0),1),0)</f>
        <v>0.19558062999529854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12424000000</v>
      </c>
    </row>
    <row r="15" spans="1:2" x14ac:dyDescent="0.25">
      <c r="A15" t="s">
        <v>14</v>
      </c>
      <c r="B15" s="10">
        <f>'Source data'!B8</f>
        <v>206600000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0.14885807146799357</v>
      </c>
    </row>
    <row r="18" spans="1:2" x14ac:dyDescent="0.25">
      <c r="A18" t="s">
        <v>17</v>
      </c>
      <c r="B18" s="8">
        <f>MIN(B10,B12)</f>
        <v>0.1850503319768687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0.1850503319768687</v>
      </c>
      <c r="C22" s="8">
        <f>$B$10+($B$18-$B$10)*C21/$B$16</f>
        <v>0.1850503319768687</v>
      </c>
      <c r="D22" s="8">
        <f>$B$10+($B$18-$B$10)*D21/$B$16</f>
        <v>0.1850503319768687</v>
      </c>
      <c r="E22" s="8">
        <f>$B$10+($B$18-$B$10)*E21/$B$16</f>
        <v>0.1850503319768687</v>
      </c>
      <c r="F22" s="8">
        <f>$B$10+($B$18-$B$10)*F21/$B$16</f>
        <v>0.1850503319768687</v>
      </c>
      <c r="G22" s="8">
        <f>$B$10+($B$18-$B$10)*G21/$B$16</f>
        <v>0.1850503319768687</v>
      </c>
      <c r="H22" s="8">
        <f>$B$10+($B$18-$B$10)*H21/$B$16</f>
        <v>0.1850503319768687</v>
      </c>
      <c r="I22" s="8">
        <f>$B$10+($B$18-$B$10)*I21/$B$16</f>
        <v>0.1850503319768687</v>
      </c>
      <c r="J22" s="8">
        <f>$B$10+($B$18-$B$10)*J21/$B$16</f>
        <v>0.1850503319768687</v>
      </c>
      <c r="K22" s="8">
        <f>$B$10+($B$18-$B$10)*K21/$B$16</f>
        <v>0.1850503319768687</v>
      </c>
    </row>
    <row r="23" spans="1:11" x14ac:dyDescent="0.25">
      <c r="A23" t="s">
        <v>31</v>
      </c>
      <c r="B23" s="8">
        <f>$B$17+($B$13-$B$17)*B21/$B$16</f>
        <v>0.13647226432119422</v>
      </c>
      <c r="C23" s="8">
        <f>$B$17+($B$13-$B$17)*C21/$B$16</f>
        <v>0.12408645717439486</v>
      </c>
      <c r="D23" s="8">
        <f>$B$17+($B$13-$B$17)*D21/$B$16</f>
        <v>0.1117006500275955</v>
      </c>
      <c r="E23" s="8">
        <f>$B$17+($B$13-$B$17)*E21/$B$16</f>
        <v>0.09931484288079614</v>
      </c>
      <c r="F23" s="8">
        <f>$B$17+($B$13-$B$17)*F21/$B$16</f>
        <v>0.08692903573399678</v>
      </c>
      <c r="G23" s="8">
        <f>$B$17+($B$13-$B$17)*G21/$B$16</f>
        <v>0.07454322858719743</v>
      </c>
      <c r="H23" s="8">
        <f>$B$17+($B$13-$B$17)*H21/$B$16</f>
        <v>0.06215742144039807</v>
      </c>
      <c r="I23" s="8">
        <f>$B$17+($B$13-$B$17)*I21/$B$16</f>
        <v>0.04977161429359871</v>
      </c>
      <c r="J23" s="8">
        <f>$B$17+($B$13-$B$17)*J21/$B$16</f>
        <v>0.037385807146799344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12424000000</v>
      </c>
      <c r="C24" s="9">
        <f>B24*(1+B23)</f>
        <v>14119531411.926517</v>
      </c>
      <c r="D24" s="9">
        <f>C24*(1+C23)</f>
        <v>15871574041.795057</v>
      </c>
      <c r="E24" s="9">
        <f>D24*(1+D23)</f>
        <v>17644439179.224674</v>
      </c>
      <c r="F24" s="9">
        <f>E24*(1+E23)</f>
        <v>19396793884.029133</v>
      </c>
      <c r="G24" s="9">
        <f>F24*(1+F23)</f>
        <v>21082938472.698868</v>
      </c>
      <c r="H24" s="9">
        <f>G24*(1+G23)</f>
        <v>22654528774.55908</v>
      </c>
      <c r="I24" s="9">
        <f>H24*(1+H23)</f>
        <v>24062675867.13297</v>
      </c>
      <c r="J24" s="9">
        <f>I24*(1+I23)</f>
        <v>25260314089.263794</v>
      </c>
      <c r="K24" s="9">
        <f>J24*(1+J23)</f>
        <v>26204691320.272583</v>
      </c>
    </row>
    <row r="25" spans="1:11" x14ac:dyDescent="0.25">
      <c r="A25" t="s">
        <v>33</v>
      </c>
      <c r="B25" s="9">
        <f>(B22-$B$9)*B24</f>
        <v>1184513428.0166168</v>
      </c>
      <c r="C25" s="9">
        <f>(C22-$B$9)*C24</f>
        <v>1346166657.6569045</v>
      </c>
      <c r="D25" s="9">
        <f>(D22-$B$9)*D24</f>
        <v>1513207708.9718459</v>
      </c>
      <c r="E25" s="9">
        <f>(E22-$B$9)*E24</f>
        <v>1682233993.6907694</v>
      </c>
      <c r="F25" s="9">
        <f>(F22-$B$9)*F24</f>
        <v>1849304798.462902</v>
      </c>
      <c r="G25" s="9">
        <f>(G22-$B$9)*G24</f>
        <v>2010063081.371535</v>
      </c>
      <c r="H25" s="9">
        <f>(H22-$B$9)*H24</f>
        <v>2159899673.1208997</v>
      </c>
      <c r="I25" s="9">
        <f>(I22-$B$9)*I24</f>
        <v>2294153467.372053</v>
      </c>
      <c r="J25" s="9">
        <f>(J22-$B$9)*J24</f>
        <v>2408337188.880417</v>
      </c>
      <c r="K25" s="9">
        <f>(K22-$B$9)*K24</f>
        <v>2498374818.5683646</v>
      </c>
    </row>
    <row r="26" spans="1:11" x14ac:dyDescent="0.25">
      <c r="A26" t="s">
        <v>34</v>
      </c>
      <c r="B26" s="14">
        <f>1/(1+$B$9)^B21</f>
        <v>0.9176756934576511</v>
      </c>
      <c r="C26" s="14">
        <f>1/(1+$B$9)^C21</f>
        <v>0.8421286783629809</v>
      </c>
      <c r="D26" s="14">
        <f>1/(1+$B$9)^D21</f>
        <v>0.7728010188973237</v>
      </c>
      <c r="E26" s="14">
        <f>1/(1+$B$9)^E21</f>
        <v>0.7091807109213808</v>
      </c>
      <c r="F26" s="14">
        <f>1/(1+$B$9)^F21</f>
        <v>0.6507979006815682</v>
      </c>
      <c r="G26" s="14">
        <f>1/(1+$B$9)^G21</f>
        <v>0.5972214148087416</v>
      </c>
      <c r="H26" s="14">
        <f>1/(1+$B$9)^H21</f>
        <v>0.5480555759823714</v>
      </c>
      <c r="I26" s="14">
        <f>1/(1+$B$9)^I21</f>
        <v>0.5029372807429551</v>
      </c>
      <c r="J26" s="14">
        <f>1/(1+$B$9)^J21</f>
        <v>0.4615333178714967</v>
      </c>
      <c r="K26" s="14">
        <f>1/(1+$B$9)^K21</f>
        <v>0.4235379075315362</v>
      </c>
    </row>
    <row r="27" spans="1:11" x14ac:dyDescent="0.25">
      <c r="A27" s="15" t="s">
        <v>35</v>
      </c>
      <c r="B27" s="16">
        <f>B25*B26</f>
        <v>1086999181.4650483</v>
      </c>
      <c r="C27" s="16">
        <f>C25*C26</f>
        <v>1133645548.2689202</v>
      </c>
      <c r="D27" s="16">
        <f>D25*D26</f>
        <v>1169408459.2967274</v>
      </c>
      <c r="E27" s="16">
        <f>E25*E26</f>
        <v>1193007899.5817335</v>
      </c>
      <c r="F27" s="16">
        <f>F25*F26</f>
        <v>1203523680.560007</v>
      </c>
      <c r="G27" s="16">
        <f>G25*G26</f>
        <v>1200452717.3115268</v>
      </c>
      <c r="H27" s="16">
        <f>H25*H26</f>
        <v>1183745059.4164104</v>
      </c>
      <c r="I27" s="16">
        <f>I25*I26</f>
        <v>1153815306.487122</v>
      </c>
      <c r="J27" s="16">
        <f>J25*J26</f>
        <v>1111527853.3372922</v>
      </c>
      <c r="K27" s="16">
        <f>K25*K26</f>
        <v>1058156442.8859266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12424000000</v>
      </c>
    </row>
    <row r="31" spans="1:2" x14ac:dyDescent="0.25">
      <c r="A31" t="s">
        <v>38</v>
      </c>
      <c r="B31" s="9">
        <f>SUM(B27:K27)</f>
        <v>11494282148.610714</v>
      </c>
    </row>
    <row r="32" spans="1:2" x14ac:dyDescent="0.25">
      <c r="A32" t="s">
        <v>39</v>
      </c>
      <c r="B32" s="9">
        <f>K24*(1+K23)</f>
        <v>26859808603.279396</v>
      </c>
    </row>
    <row r="33" spans="1:2" x14ac:dyDescent="0.25">
      <c r="A33" t="s">
        <v>40</v>
      </c>
      <c r="B33" s="9">
        <f>(B18-B9)*B32</f>
        <v>2560834189.032573</v>
      </c>
    </row>
    <row r="34" spans="1:2" x14ac:dyDescent="0.25">
      <c r="A34" t="s">
        <v>41</v>
      </c>
      <c r="B34" s="9">
        <f>B33/(B9-B13)</f>
        <v>39574263217.0846</v>
      </c>
    </row>
    <row r="35" spans="1:2" x14ac:dyDescent="0.25">
      <c r="A35" t="s">
        <v>42</v>
      </c>
      <c r="B35" s="9">
        <f>B34*K26</f>
        <v>16761200635.066254</v>
      </c>
    </row>
    <row r="36" spans="1:2" x14ac:dyDescent="0.25">
      <c r="A36" s="15" t="s">
        <v>43</v>
      </c>
      <c r="B36" s="16">
        <f>B30+B31+B35</f>
        <v>40679482783.67697</v>
      </c>
    </row>
    <row r="37" spans="1:2" x14ac:dyDescent="0.25">
      <c r="A37" s="15" t="s">
        <v>44</v>
      </c>
      <c r="B37" s="17">
        <f>B36/B15</f>
        <v>196.89972305748776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157.22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196.89972305748776</v>
      </c>
    </row>
    <row r="43" spans="1:2" x14ac:dyDescent="0.25">
      <c r="A43" s="15" t="s">
        <v>48</v>
      </c>
      <c r="B43" s="21">
        <f>B42/B40-1</f>
        <v>0.25238343122686535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2127000000</v>
      </c>
      <c r="C5" s="9">
        <v>2059000000</v>
      </c>
      <c r="D5" s="9">
        <v>1728000000</v>
      </c>
      <c r="E5" s="9">
        <v>1502000000</v>
      </c>
      <c r="F5" s="6" t="s">
        <v>57</v>
      </c>
    </row>
    <row r="6" spans="1:6" x14ac:dyDescent="0.25">
      <c r="A6" t="s">
        <v>37</v>
      </c>
      <c r="B6" s="9">
        <v>12424000000</v>
      </c>
      <c r="C6" s="9">
        <v>11594000000</v>
      </c>
      <c r="D6" s="9">
        <v>10135000000</v>
      </c>
      <c r="E6" s="9">
        <v>9338000000</v>
      </c>
      <c r="F6" s="6" t="s">
        <v>58</v>
      </c>
    </row>
    <row r="7" spans="1:6" x14ac:dyDescent="0.25">
      <c r="A7" t="s">
        <v>59</v>
      </c>
      <c r="B7" s="9">
        <v>416000000</v>
      </c>
      <c r="C7" s="9">
        <v>383000000</v>
      </c>
      <c r="D7" s="9">
        <v>355000000</v>
      </c>
      <c r="E7" s="9">
        <v>277000000</v>
      </c>
      <c r="F7" s="6" t="s">
        <v>60</v>
      </c>
    </row>
    <row r="8" spans="1:6" x14ac:dyDescent="0.25">
      <c r="A8" t="s">
        <v>14</v>
      </c>
      <c r="B8" s="10">
        <v>206600000</v>
      </c>
      <c r="C8" s="10">
        <v>212300000</v>
      </c>
      <c r="D8" s="10">
        <v>216900000</v>
      </c>
      <c r="E8" s="10">
        <v>215122523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0.1834569604968087</v>
      </c>
      <c r="C9" s="8">
        <f>IF(AND(ISNUMBER(C5),N(D6)&gt;0),C5/D6,"")</f>
        <v>0.20315737543167242</v>
      </c>
      <c r="D9" s="8">
        <f>IF(AND(ISNUMBER(D5),N(E6)&gt;0),D5/E6,"")</f>
        <v>0.1850503319768687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0.19558062999529854</v>
      </c>
      <c r="C10" s="8">
        <f>IF(AND(ISNUMBER(C9),N(C5)&gt;0,ISNUMBER(C7)),C7/C5,"")</f>
        <v>0.18601262748907235</v>
      </c>
      <c r="D10" s="8">
        <f>IF(AND(ISNUMBER(D9),N(D5)&gt;0,ISNUMBER(D7)),D7/D5,"")</f>
        <v>0.20543981481481483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