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<sst xmlns="http://schemas.openxmlformats.org/spreadsheetml/2006/main" count="112" uniqueCount="100">
  <si>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Raymond James Financial, Inc. (RJF)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</si>
  <si>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</si>
  <si>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</si>
  <si>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</si>
  <si>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</si>
  <si>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</si>
  <si>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</si>
  <si>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</si>
  <si>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</si>
  <si>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</si>
  <si>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</si>
  <si>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</si>
  <si>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</si>
  <si>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</si>
  <si>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</si>
  <si>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</si>
  <si>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</si>
  <si>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</si>
  <si>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</si>
  <si>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</si>
  <si>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</si>
  <si>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</si>
  <si>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50.5%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</si>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</sst>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0.08453363915489276</v>
      </c>
    </row>
    <row r="7" spans="1:2" x14ac:dyDescent="0.25">
      <c r="A7" t="s">
        <v>5</v>
      </c>
      <c r="B7" s="6">
        <v>0.19758523530576033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0.01400018950941351</v>
      </c>
    </row>
    <row r="10" spans="1:2" x14ac:dyDescent="0.25">
      <c r="A10" t="s">
        <v>8</v>
      </c>
      <c r="B10" s="6">
        <v>0.013318317245947007</v>
      </c>
    </row>
    <row r="11" spans="1:2" x14ac:dyDescent="0.25">
      <c r="A11" t="s">
        <v>9</v>
      </c>
      <c r="B11" s="6">
        <v>-0.0034158838599487617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8.415082549329666</v>
      </c>
    </row>
    <row r="14" spans="1:3" x14ac:dyDescent="0.25">
      <c r="A14" t="s">
        <v>12</v>
      </c>
      <c r="B14" s="6">
        <v>0.1322563155682296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0.9443900000000001</v>
      </c>
      <c r="C19" s="8" t="s">
        <v>19</v>
      </c>
    </row>
    <row r="20" spans="1:2" x14ac:dyDescent="0.25">
      <c r="A20" t="s">
        <v>20</v>
      </c>
      <c r="B20" s="10">
        <f>B17+B19*B18</f>
        <v>0.10192145000000001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31648475136</v>
      </c>
    </row>
    <row r="23" spans="1:2" x14ac:dyDescent="0.25">
      <c r="A23" t="s">
        <v>24</v>
      </c>
      <c r="B23" s="11">
        <v>4220000000</v>
      </c>
    </row>
    <row r="24" spans="1:2" x14ac:dyDescent="0.25">
      <c r="A24" t="s">
        <v>25</v>
      </c>
      <c r="B24" s="10">
        <f>B22/(B22+B23)</f>
        <v>0.8823479396880041</v>
      </c>
    </row>
    <row r="25" spans="1:2" x14ac:dyDescent="0.25">
      <c r="A25" t="s">
        <v>26</v>
      </c>
      <c r="B25" s="10">
        <f>1-B24</f>
        <v>0.11765206031199593</v>
      </c>
    </row>
    <row r="26" spans="1:2" x14ac:dyDescent="0.25">
      <c r="A26" t="s">
        <v>27</v>
      </c>
      <c r="B26" s="12">
        <f>B24*B20+B25*B21*(1-B8)</f>
        <v>0.09643448145021438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13842000000</v>
      </c>
      <c r="C29" s="8" t="s">
        <v>30</v>
      </c>
    </row>
    <row r="30" spans="1:2" x14ac:dyDescent="0.25">
      <c r="A30" t="s">
        <v>31</v>
      </c>
      <c r="B30" s="11">
        <v>-7169000000</v>
      </c>
    </row>
    <row r="31" spans="1:2" x14ac:dyDescent="0.25">
      <c r="A31" t="s">
        <v>32</v>
      </c>
      <c r="B31" s="13">
        <v>206600000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0.08453363915489276</v>
      </c>
      <c r="C5" s="10">
        <f>Assumptions!B6</f>
        <v>0.08453363915489276</v>
      </c>
      <c r="D5" s="10">
        <f>Assumptions!B6</f>
        <v>0.08453363915489276</v>
      </c>
      <c r="E5" s="10">
        <f>Assumptions!B6</f>
        <v>0.08453363915489276</v>
      </c>
      <c r="F5" s="10">
        <f>Assumptions!B6</f>
        <v>0.08453363915489276</v>
      </c>
    </row>
    <row r="6" spans="1:6" x14ac:dyDescent="0.25">
      <c r="A6" t="s">
        <v>43</v>
      </c>
      <c r="B6" s="18">
        <f>Assumptions!B29*(1+B5)</f>
        <v>15012114633.182026</v>
      </c>
      <c r="C6" s="18">
        <f>B6*(1+C5)</f>
        <v>16281143314.53532</v>
      </c>
      <c r="D6" s="18">
        <f>C6*(1+D5)</f>
        <v>17657447608.515343</v>
      </c>
      <c r="E6" s="18">
        <f>D6*(1+E5)</f>
        <v>19150095913.050003</v>
      </c>
      <c r="F6" s="18">
        <f>E6*(1+F5)</f>
        <v>20768923210.745358</v>
      </c>
    </row>
    <row r="7" spans="1:6" x14ac:dyDescent="0.25">
      <c r="A7" t="s">
        <v>5</v>
      </c>
      <c r="B7" s="10">
        <f>Assumptions!B7</f>
        <v>0.19758523530576033</v>
      </c>
      <c r="C7" s="10">
        <f>Assumptions!B7</f>
        <v>0.19758523530576033</v>
      </c>
      <c r="D7" s="10">
        <f>Assumptions!B7</f>
        <v>0.19758523530576033</v>
      </c>
      <c r="E7" s="10">
        <f>Assumptions!B7</f>
        <v>0.19758523530576033</v>
      </c>
      <c r="F7" s="10">
        <f>Assumptions!B7</f>
        <v>0.19758523530576033</v>
      </c>
    </row>
    <row r="8" spans="1:6" x14ac:dyDescent="0.25">
      <c r="A8" t="s">
        <v>44</v>
      </c>
      <c r="B8" s="18">
        <f>B6*B7</f>
        <v>2966172202.2343187</v>
      </c>
      <c r="C8" s="18">
        <f>C6*C7</f>
        <v>3216913532.849268</v>
      </c>
      <c r="D8" s="18">
        <f>D6*D7</f>
        <v>3488850940.627639</v>
      </c>
      <c r="E8" s="18">
        <f>E6*E7</f>
        <v>3783776207.107864</v>
      </c>
      <c r="F8" s="18">
        <f>F6*F7</f>
        <v>4103632579.642389</v>
      </c>
    </row>
    <row r="9" spans="1:6" x14ac:dyDescent="0.25">
      <c r="A9" t="s">
        <v>45</v>
      </c>
      <c r="B9" s="18">
        <f>B8*(1-Assumptions!B8)</f>
        <v>2343276039.765112</v>
      </c>
      <c r="C9" s="18">
        <f>C8*(1-Assumptions!B8)</f>
        <v>2541361690.950922</v>
      </c>
      <c r="D9" s="18">
        <f>D8*(1-Assumptions!B8)</f>
        <v>2756192243.0958347</v>
      </c>
      <c r="E9" s="18">
        <f>E8*(1-Assumptions!B8)</f>
        <v>2989183203.6152124</v>
      </c>
      <c r="F9" s="18">
        <f>F8*(1-Assumptions!B8)</f>
        <v>3241869737.917487</v>
      </c>
    </row>
    <row r="10" spans="1:6" x14ac:dyDescent="0.25">
      <c r="A10" t="s">
        <v>46</v>
      </c>
      <c r="B10" s="18">
        <f>B6*Assumptions!B9</f>
        <v>210172449.80158803</v>
      </c>
      <c r="C10" s="18">
        <f>C6*Assumptions!B9</f>
        <v>227939091.83341527</v>
      </c>
      <c r="D10" s="18">
        <f>D6*Assumptions!B9</f>
        <v>247207612.77175516</v>
      </c>
      <c r="E10" s="18">
        <f>E6*Assumptions!B9</f>
        <v>268104971.9061452</v>
      </c>
      <c r="F10" s="18">
        <f>F6*Assumptions!B9</f>
        <v>290768860.8568919</v>
      </c>
    </row>
    <row r="11" spans="1:6" x14ac:dyDescent="0.25">
      <c r="A11" t="s">
        <v>47</v>
      </c>
      <c r="B11" s="18">
        <f>-B6*Assumptions!B10</f>
        <v>-199936105.21724162</v>
      </c>
      <c r="C11" s="18">
        <f>-C6*Assumptions!B10</f>
        <v>-216837431.78971058</v>
      </c>
      <c r="D11" s="18">
        <f>-D6*Assumptions!B10</f>
        <v>-235167489.00389564</v>
      </c>
      <c r="E11" s="18">
        <f>-E6*Assumptions!B10</f>
        <v>-255047052.66031316</v>
      </c>
      <c r="F11" s="18">
        <f>-F6*Assumptions!B10</f>
        <v>-276607108.177419</v>
      </c>
    </row>
    <row r="12" spans="1:6" x14ac:dyDescent="0.25">
      <c r="A12" t="s">
        <v>48</v>
      </c>
      <c r="B12" s="18">
        <f>-(B6-Assumptions!B29)*Assumptions!B11</f>
        <v>3996975.689776348</v>
      </c>
      <c r="C12" s="18">
        <f>-(C6-B6)*Assumptions!B11</f>
        <v>4334854.590446779</v>
      </c>
      <c r="D12" s="18">
        <f>-(D6-C6)*Assumptions!B11</f>
        <v>4701295.624184534</v>
      </c>
      <c r="E12" s="18">
        <f>-(E6-D6)*Assumptions!B11</f>
        <v>5098713.25203983</v>
      </c>
      <c r="F12" s="18">
        <f>-(F6-E6)*Assumptions!B11</f>
        <v>5529726.038242031</v>
      </c>
    </row>
    <row r="13" spans="1:6" x14ac:dyDescent="0.25">
      <c r="A13" s="19" t="s">
        <v>49</v>
      </c>
      <c r="B13" s="20">
        <f>B9+B10+B11+B12</f>
        <v>2357509360.0392346</v>
      </c>
      <c r="C13" s="20">
        <f>C9+C10+C11+C12</f>
        <v>2556798205.5850735</v>
      </c>
      <c r="D13" s="20">
        <f>D9+D10+D11+D12</f>
        <v>2772933662.487879</v>
      </c>
      <c r="E13" s="20">
        <f>E9+E10+E11+E12</f>
        <v>3007339836.1130843</v>
      </c>
      <c r="F13" s="20">
        <f>F9+F10+F11+F12</f>
        <v>3261561216.6352015</v>
      </c>
    </row>
    <row r="14" spans="1:6" x14ac:dyDescent="0.25">
      <c r="A14" t="s">
        <v>50</v>
      </c>
      <c r="B14" s="21">
        <f>1/(1+Assumptions!$B$26)^(1-0.5*Assumptions!$B$32)</f>
        <v>0.9550116235436445</v>
      </c>
      <c r="C14" s="21">
        <f>1/(1+Assumptions!$B$26)^(2-0.5*Assumptions!$B$32)</f>
        <v>0.8710156782742596</v>
      </c>
      <c r="D14" s="21">
        <f>1/(1+Assumptions!$B$26)^(3-0.5*Assumptions!$B$32)</f>
        <v>0.794407411487277</v>
      </c>
      <c r="E14" s="21">
        <f>1/(1+Assumptions!$B$26)^(4-0.5*Assumptions!$B$32)</f>
        <v>0.7245370561828219</v>
      </c>
      <c r="F14" s="21">
        <f>1/(1+Assumptions!$B$26)^(5-0.5*Assumptions!$B$32)</f>
        <v>0.6608119941872888</v>
      </c>
    </row>
    <row r="15" spans="1:6" x14ac:dyDescent="0.25">
      <c r="A15" s="19" t="s">
        <v>51</v>
      </c>
      <c r="B15" s="20">
        <f>B13*B14</f>
        <v>2251448841.450408</v>
      </c>
      <c r="C15" s="20">
        <f>C13*C14</f>
        <v>2227011323.2480927</v>
      </c>
      <c r="D15" s="20">
        <f>D13*D14</f>
        <v>2202839053.0429306</v>
      </c>
      <c r="E15" s="20">
        <f>E13*E14</f>
        <v>2178929151.798704</v>
      </c>
      <c r="F15" s="20">
        <f>F13*F14</f>
        <v>2155278771.728627</v>
      </c>
    </row>
    <row r="17" spans="1:2" x14ac:dyDescent="0.25">
      <c r="A17" s="22" t="s">
        <v>52</v>
      </c>
      <c r="B17" s="23">
        <f>SUM(B15:F15)</f>
        <v>11015507141.26876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3261561216.6352015</v>
      </c>
    </row>
    <row r="5" spans="1:2" x14ac:dyDescent="0.25">
      <c r="A5" t="s">
        <v>56</v>
      </c>
      <c r="B5" s="18">
        <f>IF(Assumptions!$B$33=0,B4,B4-Forecast!F11-Forecast!F10-Forecast!F12)</f>
        <v>3241869737.917487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0.18902688988869326</v>
      </c>
    </row>
    <row r="7" spans="1:2" x14ac:dyDescent="0.25">
      <c r="A7" t="s">
        <v>58</v>
      </c>
      <c r="B7" s="18">
        <f>-MAX(Forecast!F9,0)*B6</f>
        <v>-612800553.9828157</v>
      </c>
    </row>
    <row r="8" spans="1:2" x14ac:dyDescent="0.25">
      <c r="A8" t="s">
        <v>59</v>
      </c>
      <c r="B8" s="18">
        <f>IF(OR(Assumptions!$B$33=0,Assumptions!B12&lt;=0),B5,MAX(B5+B7,0))</f>
        <v>2629069183.9346714</v>
      </c>
    </row>
    <row r="9" spans="1:2" x14ac:dyDescent="0.25">
      <c r="A9" t="s">
        <v>60</v>
      </c>
      <c r="B9" s="18">
        <f>B8*(1+Assumptions!B12)/(Assumptions!B26-Assumptions!B12)</f>
        <v>37724021492.49381</v>
      </c>
    </row>
    <row r="10" spans="1:2" x14ac:dyDescent="0.25">
      <c r="A10" t="s">
        <v>61</v>
      </c>
      <c r="B10" s="18">
        <f>B9/(1+Assumptions!B26)^(5-0.5*Assumptions!B32)</f>
        <v>24928485871.21898</v>
      </c>
    </row>
    <row r="11" spans="1:2" x14ac:dyDescent="0.25">
      <c r="A11" t="s">
        <v>62</v>
      </c>
      <c r="B11" s="18">
        <f>Forecast!B17+B10</f>
        <v>35943993012.48774</v>
      </c>
    </row>
    <row r="12" spans="1:2" x14ac:dyDescent="0.25">
      <c r="A12" t="s">
        <v>63</v>
      </c>
      <c r="B12" s="18">
        <f>-Assumptions!B30</f>
        <v>7169000000</v>
      </c>
    </row>
    <row r="13" spans="1:2" x14ac:dyDescent="0.25">
      <c r="A13" t="s">
        <v>64</v>
      </c>
      <c r="B13" s="18">
        <f>B11+B12</f>
        <v>43112993012.48774</v>
      </c>
    </row>
    <row r="14" spans="1:2" x14ac:dyDescent="0.25">
      <c r="A14" s="19" t="s">
        <v>65</v>
      </c>
      <c r="B14" s="24">
        <f>B13/Assumptions!B31</f>
        <v>208.67857218048277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4394401440.499281</v>
      </c>
    </row>
    <row r="18" spans="1:2" x14ac:dyDescent="0.25">
      <c r="A18" t="s">
        <v>60</v>
      </c>
      <c r="B18" s="18">
        <f>B17*Assumptions!B13</f>
        <v>36979250876.69465</v>
      </c>
    </row>
    <row r="19" spans="1:2" x14ac:dyDescent="0.25">
      <c r="A19" t="s">
        <v>61</v>
      </c>
      <c r="B19" s="18">
        <f>B18/(1+Assumptions!B26)^(5-0.5*Assumptions!B32)</f>
        <v>24436332515.38064</v>
      </c>
    </row>
    <row r="20" spans="1:2" x14ac:dyDescent="0.25">
      <c r="A20" t="s">
        <v>62</v>
      </c>
      <c r="B20" s="18">
        <f>Forecast!B17+B19</f>
        <v>35451839656.6494</v>
      </c>
    </row>
    <row r="21" spans="1:2" x14ac:dyDescent="0.25">
      <c r="A21" t="s">
        <v>63</v>
      </c>
      <c r="B21" s="18">
        <f>-Assumptions!B30</f>
        <v>7169000000</v>
      </c>
    </row>
    <row r="22" spans="1:2" x14ac:dyDescent="0.25">
      <c r="A22" t="s">
        <v>64</v>
      </c>
      <c r="B22" s="18">
        <f>B20+B21</f>
        <v>42620839656.6494</v>
      </c>
    </row>
    <row r="23" spans="1:2" x14ac:dyDescent="0.25">
      <c r="A23" s="19" t="s">
        <v>65</v>
      </c>
      <c r="B23" s="25">
        <f>B22/Assumptions!B31</f>
        <v>206.2964165375092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164.75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208.67857218048277</v>
      </c>
    </row>
    <row r="29" spans="1:2" x14ac:dyDescent="0.25">
      <c r="A29" s="19" t="s">
        <v>73</v>
      </c>
      <c r="B29" s="12">
        <f>B28/B26-1</f>
        <v>0.26663776740808975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0.076434</v>
      </c>
      <c r="B5" s="31">
        <v>255.5314305464321</v>
      </c>
      <c r="C5" s="31">
        <v>263.33839961818177</v>
      </c>
      <c r="D5" s="31">
        <v>272.5804312151882</v>
      </c>
      <c r="E5" s="31">
        <v>283.72110671917284</v>
      </c>
      <c r="F5" s="31">
        <v>297.4477760988733</v>
      </c>
    </row>
    <row r="6" spans="1:6" x14ac:dyDescent="0.25">
      <c r="A6" s="30">
        <v>0.086434</v>
      </c>
      <c r="B6" s="31">
        <v>225.36992319892232</v>
      </c>
      <c r="C6" s="31">
        <v>230.06380858007196</v>
      </c>
      <c r="D6" s="31">
        <v>235.4552514012169</v>
      </c>
      <c r="E6" s="31">
        <v>241.7296604868235</v>
      </c>
      <c r="F6" s="31">
        <v>249.14454048298035</v>
      </c>
    </row>
    <row r="7" spans="1:6" x14ac:dyDescent="0.25">
      <c r="A7" s="30">
        <v>0.096434</v>
      </c>
      <c r="B7" s="31">
        <v>202.60203799305495</v>
      </c>
      <c r="C7" s="31">
        <v>205.4677163268042</v>
      </c>
      <c r="D7" s="32">
        <v>208.67968185167916</v>
      </c>
      <c r="E7" s="31">
        <v>212.31612206003135</v>
      </c>
      <c r="F7" s="31">
        <v>216.4806785876351</v>
      </c>
    </row>
    <row r="8" spans="1:6" x14ac:dyDescent="0.25">
      <c r="A8" s="30">
        <v>0.106434</v>
      </c>
      <c r="B8" s="31">
        <v>184.8027756434421</v>
      </c>
      <c r="C8" s="31">
        <v>186.5395421763863</v>
      </c>
      <c r="D8" s="31">
        <v>188.44337030220356</v>
      </c>
      <c r="E8" s="31">
        <v>190.5470454814625</v>
      </c>
      <c r="F8" s="31">
        <v>192.89253240606917</v>
      </c>
    </row>
    <row r="9" spans="1:6" x14ac:dyDescent="0.25">
      <c r="A9" s="30">
        <v>0.116434</v>
      </c>
      <c r="B9" s="31">
        <v>170.503361553394</v>
      </c>
      <c r="C9" s="31">
        <v>171.51736512174526</v>
      </c>
      <c r="D9" s="31">
        <v>172.60274461151758</v>
      </c>
      <c r="E9" s="31">
        <v>173.77188680130874</v>
      </c>
      <c r="F9" s="31">
        <v>175.0402206335785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13842000000</v>
      </c>
      <c r="C5" s="18">
        <v>12639000000</v>
      </c>
      <c r="D5" s="18">
        <v>11468000000</v>
      </c>
      <c r="E5" s="18">
        <v>10851000000</v>
      </c>
      <c r="F5" s="8" t="s">
        <v>84</v>
      </c>
    </row>
    <row r="6" spans="1:6" x14ac:dyDescent="0.25">
      <c r="A6" t="s">
        <v>44</v>
      </c>
      <c r="B6" s="18">
        <v>2714000000</v>
      </c>
      <c r="C6" s="18">
        <v>2643000000</v>
      </c>
      <c r="D6" s="18">
        <v>2280000000</v>
      </c>
      <c r="E6" s="18">
        <v>2022000000</v>
      </c>
      <c r="F6" s="8" t="s">
        <v>85</v>
      </c>
    </row>
    <row r="7" spans="1:6" x14ac:dyDescent="0.25">
      <c r="A7" t="s">
        <v>86</v>
      </c>
      <c r="B7" s="18">
        <v>195000000</v>
      </c>
      <c r="C7" s="18">
        <v>179000000</v>
      </c>
      <c r="D7" s="18">
        <v>165000000</v>
      </c>
      <c r="E7" s="18">
        <v>145000000</v>
      </c>
      <c r="F7" s="8" t="s">
        <v>87</v>
      </c>
    </row>
    <row r="8" spans="1:6" x14ac:dyDescent="0.25">
      <c r="A8" t="s">
        <v>88</v>
      </c>
      <c r="B8" s="18">
        <v>188000000</v>
      </c>
      <c r="C8" s="18">
        <v>205000000</v>
      </c>
      <c r="D8" s="18">
        <v>173000000</v>
      </c>
      <c r="E8" s="18">
        <v>91000000</v>
      </c>
      <c r="F8" s="8" t="s">
        <v>89</v>
      </c>
    </row>
    <row r="9" spans="1:6" x14ac:dyDescent="0.25">
      <c r="A9" t="s">
        <v>90</v>
      </c>
      <c r="B9" s="18">
        <v>-95000000</v>
      </c>
      <c r="C9" s="18">
        <v>-4000000</v>
      </c>
      <c r="D9" s="18">
        <v>5773000000</v>
      </c>
      <c r="E9" s="18">
        <v>2148000000</v>
      </c>
      <c r="F9" s="8" t="s">
        <v>91</v>
      </c>
    </row>
    <row r="10" spans="1:6" x14ac:dyDescent="0.25">
      <c r="A10" t="s">
        <v>92</v>
      </c>
      <c r="B10" s="18">
        <v>4220000000</v>
      </c>
      <c r="C10" s="18">
        <v>3089000000</v>
      </c>
      <c r="D10" s="18">
        <v>3139000000</v>
      </c>
      <c r="E10" s="18">
        <v>3329000000</v>
      </c>
      <c r="F10" s="8" t="s">
        <v>93</v>
      </c>
    </row>
    <row r="11" spans="1:6" x14ac:dyDescent="0.25">
      <c r="A11" t="s">
        <v>94</v>
      </c>
      <c r="B11" s="18">
        <v>11389000000</v>
      </c>
      <c r="C11" s="18">
        <v>10998000000</v>
      </c>
      <c r="D11" s="18">
        <v>9313000000</v>
      </c>
      <c r="E11" s="18">
        <v>6178000000</v>
      </c>
      <c r="F11" s="8" t="s">
        <v>95</v>
      </c>
    </row>
    <row r="12" spans="1:6" x14ac:dyDescent="0.25">
      <c r="A12" t="s">
        <v>32</v>
      </c>
      <c r="B12" s="34">
        <v>206600000</v>
      </c>
      <c r="C12" s="34">
        <v>212300000</v>
      </c>
      <c r="D12" s="34">
        <v>216900000</v>
      </c>
      <c r="E12" s="34">
        <v>215300000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2026-09-19T01:04:46Z</dcterms:modified>
</cp:coreProperties>
</file>