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<sst xmlns="http://schemas.openxmlformats.org/spreadsheetml/2006/main" count="112" uniqueCount="100">
  <si>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Reckitt Benckiser Group plc (RKT.L)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</si>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</sst>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-0.005752719428296471</v>
      </c>
    </row>
    <row r="7" spans="1:2" x14ac:dyDescent="0.25">
      <c r="A7" t="s">
        <v>5</v>
      </c>
      <c r="B7" s="6">
        <v>0.23710400493081657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0.0354078197561352</v>
      </c>
    </row>
    <row r="10" spans="1:2" x14ac:dyDescent="0.25">
      <c r="A10" t="s">
        <v>8</v>
      </c>
      <c r="B10" s="6">
        <v>0.03437562536953405</v>
      </c>
    </row>
    <row r="11" spans="1:2" x14ac:dyDescent="0.25">
      <c r="A11" t="s">
        <v>9</v>
      </c>
      <c r="B11" s="6">
        <v>0.38961038961038963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9.660351364076433</v>
      </c>
    </row>
    <row r="14" spans="1:3" x14ac:dyDescent="0.25">
      <c r="A14" t="s">
        <v>12</v>
      </c>
      <c r="B14" s="6">
        <v>0.15613840458514971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0.49883999999999995</v>
      </c>
      <c r="C19" s="8" t="s">
        <v>19</v>
      </c>
    </row>
    <row r="20" spans="1:2" x14ac:dyDescent="0.25">
      <c r="A20" t="s">
        <v>20</v>
      </c>
      <c r="B20" s="10">
        <f>B17+B19*B18</f>
        <v>0.07243619999999999</v>
      </c>
    </row>
    <row r="21" spans="1:3" x14ac:dyDescent="0.25">
      <c r="A21" t="s">
        <v>21</v>
      </c>
      <c r="B21" s="6">
        <v>0.04950842696629214</v>
      </c>
      <c r="C21" s="8" t="s">
        <v>22</v>
      </c>
    </row>
    <row r="22" spans="1:2" x14ac:dyDescent="0.25">
      <c r="A22" t="s">
        <v>23</v>
      </c>
      <c r="B22" s="11">
        <v>31256879104</v>
      </c>
    </row>
    <row r="23" spans="1:2" x14ac:dyDescent="0.25">
      <c r="A23" t="s">
        <v>24</v>
      </c>
      <c r="B23" s="11">
        <v>8430000000</v>
      </c>
    </row>
    <row r="24" spans="1:2" x14ac:dyDescent="0.25">
      <c r="A24" t="s">
        <v>25</v>
      </c>
      <c r="B24" s="10">
        <f>B22/(B22+B23)</f>
        <v>0.7875872280632329</v>
      </c>
    </row>
    <row r="25" spans="1:2" x14ac:dyDescent="0.25">
      <c r="A25" t="s">
        <v>26</v>
      </c>
      <c r="B25" s="10">
        <f>1-B24</f>
        <v>0.2124127719367671</v>
      </c>
    </row>
    <row r="26" spans="1:2" x14ac:dyDescent="0.25">
      <c r="A26" t="s">
        <v>27</v>
      </c>
      <c r="B26" s="12">
        <f>B24*B20+B25*B21*(1-B8)</f>
        <v>0.06493699262403826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14205000000</v>
      </c>
      <c r="C29" s="8" t="s">
        <v>30</v>
      </c>
    </row>
    <row r="30" spans="1:2" x14ac:dyDescent="0.25">
      <c r="A30" t="s">
        <v>31</v>
      </c>
      <c r="B30" s="11">
        <v>6660000000</v>
      </c>
    </row>
    <row r="31" spans="1:2" x14ac:dyDescent="0.25">
      <c r="A31" t="s">
        <v>32</v>
      </c>
      <c r="B31" s="13">
        <v>653897005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-0.005752719428296471</v>
      </c>
      <c r="C5" s="10">
        <f>Assumptions!B6</f>
        <v>-0.005752719428296471</v>
      </c>
      <c r="D5" s="10">
        <f>Assumptions!B6</f>
        <v>-0.005752719428296471</v>
      </c>
      <c r="E5" s="10">
        <f>Assumptions!B6</f>
        <v>-0.005752719428296471</v>
      </c>
      <c r="F5" s="10">
        <f>Assumptions!B6</f>
        <v>-0.005752719428296471</v>
      </c>
    </row>
    <row r="6" spans="1:6" x14ac:dyDescent="0.25">
      <c r="A6" t="s">
        <v>43</v>
      </c>
      <c r="B6" s="18">
        <f>Assumptions!B29*(1+B5)</f>
        <v>14123282620.52105</v>
      </c>
      <c r="C6" s="18">
        <f>B6*(1+C5)</f>
        <v>14042035338.198656</v>
      </c>
      <c r="D6" s="18">
        <f>C6*(1+D5)</f>
        <v>13961255448.695776</v>
      </c>
      <c r="E6" s="18">
        <f>D6*(1+E5)</f>
        <v>13880940263.232655</v>
      </c>
      <c r="F6" s="18">
        <f>E6*(1+F5)</f>
        <v>13801087108.497334</v>
      </c>
    </row>
    <row r="7" spans="1:6" x14ac:dyDescent="0.25">
      <c r="A7" t="s">
        <v>5</v>
      </c>
      <c r="B7" s="10">
        <f>Assumptions!B7</f>
        <v>0.23710400493081657</v>
      </c>
      <c r="C7" s="10">
        <f>Assumptions!B7</f>
        <v>0.23710400493081657</v>
      </c>
      <c r="D7" s="10">
        <f>Assumptions!B7</f>
        <v>0.23710400493081657</v>
      </c>
      <c r="E7" s="10">
        <f>Assumptions!B7</f>
        <v>0.23710400493081657</v>
      </c>
      <c r="F7" s="10">
        <f>Assumptions!B7</f>
        <v>0.23710400493081657</v>
      </c>
    </row>
    <row r="8" spans="1:6" x14ac:dyDescent="0.25">
      <c r="A8" t="s">
        <v>44</v>
      </c>
      <c r="B8" s="18">
        <f>B6*B7</f>
        <v>3348686872.095339</v>
      </c>
      <c r="C8" s="18">
        <f>C6*C7</f>
        <v>3329422816.0669546</v>
      </c>
      <c r="D8" s="18">
        <f>D6*D7</f>
        <v>3310269580.747953</v>
      </c>
      <c r="E8" s="18">
        <f>E6*E7</f>
        <v>3291226528.6178856</v>
      </c>
      <c r="F8" s="18">
        <f>F6*F7</f>
        <v>3272293025.8237805</v>
      </c>
    </row>
    <row r="9" spans="1:6" x14ac:dyDescent="0.25">
      <c r="A9" t="s">
        <v>45</v>
      </c>
      <c r="B9" s="18">
        <f>B8*(1-Assumptions!B8)</f>
        <v>2511515154.071504</v>
      </c>
      <c r="C9" s="18">
        <f>C8*(1-Assumptions!B8)</f>
        <v>2497067112.0502157</v>
      </c>
      <c r="D9" s="18">
        <f>D8*(1-Assumptions!B8)</f>
        <v>2482702185.5609646</v>
      </c>
      <c r="E9" s="18">
        <f>E8*(1-Assumptions!B8)</f>
        <v>2468419896.463414</v>
      </c>
      <c r="F9" s="18">
        <f>F8*(1-Assumptions!B8)</f>
        <v>2454219769.3678355</v>
      </c>
    </row>
    <row r="10" spans="1:6" x14ac:dyDescent="0.25">
      <c r="A10" t="s">
        <v>46</v>
      </c>
      <c r="B10" s="18">
        <f>B6*Assumptions!B9</f>
        <v>500074645.3923662</v>
      </c>
      <c r="C10" s="18">
        <f>C6*Assumptions!B9</f>
        <v>497197856.26421905</v>
      </c>
      <c r="D10" s="18">
        <f>D6*Assumptions!B9</f>
        <v>494337616.4967806</v>
      </c>
      <c r="E10" s="18">
        <f>E6*Assumptions!B9</f>
        <v>491493830.88622177</v>
      </c>
      <c r="F10" s="18">
        <f>F6*Assumptions!B9</f>
        <v>488666404.7763947</v>
      </c>
    </row>
    <row r="11" spans="1:6" x14ac:dyDescent="0.25">
      <c r="A11" t="s">
        <v>47</v>
      </c>
      <c r="B11" s="18">
        <f>-B6*Assumptions!B10</f>
        <v>-485496672.35108274</v>
      </c>
      <c r="C11" s="18">
        <f>-C6*Assumptions!B10</f>
        <v>-482703746.21167535</v>
      </c>
      <c r="D11" s="18">
        <f>-D6*Assumptions!B10</f>
        <v>-479926886.992732</v>
      </c>
      <c r="E11" s="18">
        <f>-E6*Assumptions!B10</f>
        <v>-477166002.2657671</v>
      </c>
      <c r="F11" s="18">
        <f>-F6*Assumptions!B10</f>
        <v>-474421000.13401026</v>
      </c>
    </row>
    <row r="12" spans="1:6" x14ac:dyDescent="0.25">
      <c r="A12" t="s">
        <v>48</v>
      </c>
      <c r="B12" s="18">
        <f>-(B6-Assumptions!B29)*Assumptions!B11</f>
        <v>31837940.056733962</v>
      </c>
      <c r="C12" s="18">
        <f>-(C6-B6)*Assumptions!B11</f>
        <v>31654785.32041302</v>
      </c>
      <c r="D12" s="18">
        <f>-(D6-C6)*Assumptions!B11</f>
        <v>31472684.22190134</v>
      </c>
      <c r="E12" s="18">
        <f>-(E6-D6)*Assumptions!B11</f>
        <v>31291630.699917436</v>
      </c>
      <c r="F12" s="18">
        <f>-(F6-E6)*Assumptions!B11</f>
        <v>31111618.728047162</v>
      </c>
    </row>
    <row r="13" spans="1:6" x14ac:dyDescent="0.25">
      <c r="A13" s="19" t="s">
        <v>49</v>
      </c>
      <c r="B13" s="20">
        <f>B9+B10+B11+B12</f>
        <v>2557931067.1695213</v>
      </c>
      <c r="C13" s="20">
        <f>C9+C10+C11+C12</f>
        <v>2543216007.423173</v>
      </c>
      <c r="D13" s="20">
        <f>D9+D10+D11+D12</f>
        <v>2528585599.2869143</v>
      </c>
      <c r="E13" s="20">
        <f>E9+E10+E11+E12</f>
        <v>2514039355.7837863</v>
      </c>
      <c r="F13" s="20">
        <f>F9+F10+F11+F12</f>
        <v>2499576792.7382674</v>
      </c>
    </row>
    <row r="14" spans="1:6" x14ac:dyDescent="0.25">
      <c r="A14" t="s">
        <v>50</v>
      </c>
      <c r="B14" s="21">
        <f>1/(1+Assumptions!$B$26)^(1-0.5*Assumptions!$B$32)</f>
        <v>0.9690318315075267</v>
      </c>
      <c r="C14" s="21">
        <f>1/(1+Assumptions!$B$26)^(2-0.5*Assumptions!$B$32)</f>
        <v>0.909942877577951</v>
      </c>
      <c r="D14" s="21">
        <f>1/(1+Assumptions!$B$26)^(3-0.5*Assumptions!$B$32)</f>
        <v>0.8544570090816578</v>
      </c>
      <c r="E14" s="21">
        <f>1/(1+Assumptions!$B$26)^(4-0.5*Assumptions!$B$32)</f>
        <v>0.8023545195629358</v>
      </c>
      <c r="F14" s="21">
        <f>1/(1+Assumptions!$B$26)^(5-0.5*Assumptions!$B$32)</f>
        <v>0.7534290996746286</v>
      </c>
    </row>
    <row r="15" spans="1:6" x14ac:dyDescent="0.25">
      <c r="A15" s="19" t="s">
        <v>51</v>
      </c>
      <c r="B15" s="20">
        <f>B13*B14</f>
        <v>2478716626.8892837</v>
      </c>
      <c r="C15" s="20">
        <f>C13*C14</f>
        <v>2314181292.0969496</v>
      </c>
      <c r="D15" s="20">
        <f>D13*D14</f>
        <v>2160567688.373648</v>
      </c>
      <c r="E15" s="20">
        <f>E13*E14</f>
        <v>2017150839.4722126</v>
      </c>
      <c r="F15" s="20">
        <f>F13*F14</f>
        <v>1883253892.5203884</v>
      </c>
    </row>
    <row r="17" spans="1:2" x14ac:dyDescent="0.25">
      <c r="A17" s="22" t="s">
        <v>52</v>
      </c>
      <c r="B17" s="23">
        <f>SUM(B15:F15)</f>
        <v>10853870339.35248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2499576792.7382674</v>
      </c>
    </row>
    <row r="5" spans="1:2" x14ac:dyDescent="0.25">
      <c r="A5" t="s">
        <v>56</v>
      </c>
      <c r="B5" s="18">
        <f>IF(Assumptions!$B$33=0,B4,B4-Forecast!F11-Forecast!F10-Forecast!F12)</f>
        <v>2568186382.4544096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0.16011435537863658</v>
      </c>
    </row>
    <row r="7" spans="1:2" x14ac:dyDescent="0.25">
      <c r="A7" t="s">
        <v>58</v>
      </c>
      <c r="B7" s="18">
        <f>-MAX(Forecast!F9,0)*B6</f>
        <v>-411203507.1188804</v>
      </c>
    </row>
    <row r="8" spans="1:2" x14ac:dyDescent="0.25">
      <c r="A8" t="s">
        <v>59</v>
      </c>
      <c r="B8" s="18">
        <f>IF(OR(Assumptions!$B$33=0,Assumptions!B12&lt;=0),B5,MAX(B5+B7,0))</f>
        <v>2156982875.3355293</v>
      </c>
    </row>
    <row r="9" spans="1:2" x14ac:dyDescent="0.25">
      <c r="A9" t="s">
        <v>60</v>
      </c>
      <c r="B9" s="18">
        <f>B8*(1+Assumptions!B12)/(Assumptions!B26-Assumptions!B12)</f>
        <v>55359888212.7184</v>
      </c>
    </row>
    <row r="10" spans="1:2" x14ac:dyDescent="0.25">
      <c r="A10" t="s">
        <v>61</v>
      </c>
      <c r="B10" s="18">
        <f>B9/(1+Assumptions!B26)^(5-0.5*Assumptions!B32)</f>
        <v>41709750734.1965</v>
      </c>
    </row>
    <row r="11" spans="1:2" x14ac:dyDescent="0.25">
      <c r="A11" t="s">
        <v>62</v>
      </c>
      <c r="B11" s="18">
        <f>Forecast!B17+B10</f>
        <v>52563621073.54898</v>
      </c>
    </row>
    <row r="12" spans="1:2" x14ac:dyDescent="0.25">
      <c r="A12" t="s">
        <v>63</v>
      </c>
      <c r="B12" s="18">
        <f>-Assumptions!B30</f>
        <v>-6660000000</v>
      </c>
    </row>
    <row r="13" spans="1:2" x14ac:dyDescent="0.25">
      <c r="A13" t="s">
        <v>64</v>
      </c>
      <c r="B13" s="18">
        <f>B11+B12</f>
        <v>45903621073.54898</v>
      </c>
    </row>
    <row r="14" spans="1:2" x14ac:dyDescent="0.25">
      <c r="A14" s="19" t="s">
        <v>65</v>
      </c>
      <c r="B14" s="24">
        <f>B13/Assumptions!B31</f>
        <v>70.20007848720607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3760959430.6001754</v>
      </c>
    </row>
    <row r="18" spans="1:2" x14ac:dyDescent="0.25">
      <c r="A18" t="s">
        <v>60</v>
      </c>
      <c r="B18" s="18">
        <f>B17*Assumptions!B13</f>
        <v>36332189565.63453</v>
      </c>
    </row>
    <row r="19" spans="1:2" x14ac:dyDescent="0.25">
      <c r="A19" t="s">
        <v>61</v>
      </c>
      <c r="B19" s="18">
        <f>B18/(1+Assumptions!B26)^(5-0.5*Assumptions!B32)</f>
        <v>27373728873.64396</v>
      </c>
    </row>
    <row r="20" spans="1:2" x14ac:dyDescent="0.25">
      <c r="A20" t="s">
        <v>62</v>
      </c>
      <c r="B20" s="18">
        <f>Forecast!B17+B19</f>
        <v>38227599212.99644</v>
      </c>
    </row>
    <row r="21" spans="1:2" x14ac:dyDescent="0.25">
      <c r="A21" t="s">
        <v>63</v>
      </c>
      <c r="B21" s="18">
        <f>-Assumptions!B30</f>
        <v>-6660000000</v>
      </c>
    </row>
    <row r="22" spans="1:2" x14ac:dyDescent="0.25">
      <c r="A22" t="s">
        <v>64</v>
      </c>
      <c r="B22" s="18">
        <f>B20+B21</f>
        <v>31567599212.996437</v>
      </c>
    </row>
    <row r="23" spans="1:2" x14ac:dyDescent="0.25">
      <c r="A23" s="19" t="s">
        <v>65</v>
      </c>
      <c r="B23" s="25">
        <f>B22/Assumptions!B31</f>
        <v>48.27610307375003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4928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7020.007848720607</v>
      </c>
    </row>
    <row r="29" spans="1:2" x14ac:dyDescent="0.25">
      <c r="A29" s="19" t="s">
        <v>73</v>
      </c>
      <c r="B29" s="12">
        <f>B28/B26-1</f>
        <v>0.4245145796916816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0.044937</v>
      </c>
      <c r="B5" s="31">
        <v>105.94579715840891</v>
      </c>
      <c r="C5" s="31">
        <v>122.11174429122795</v>
      </c>
      <c r="D5" s="31">
        <v>146.3344446807627</v>
      </c>
      <c r="E5" s="31">
        <v>186.70463266796068</v>
      </c>
      <c r="F5" s="31">
        <v>267.5971008426329</v>
      </c>
    </row>
    <row r="6" spans="1:6" x14ac:dyDescent="0.25">
      <c r="A6" s="30">
        <v>0.054937</v>
      </c>
      <c r="B6" s="31">
        <v>77.71836117407581</v>
      </c>
      <c r="C6" s="31">
        <v>85.38225027625344</v>
      </c>
      <c r="D6" s="31">
        <v>95.57311955939616</v>
      </c>
      <c r="E6" s="31">
        <v>109.81098757884257</v>
      </c>
      <c r="F6" s="31">
        <v>131.14069463376273</v>
      </c>
    </row>
    <row r="7" spans="1:6" x14ac:dyDescent="0.25">
      <c r="A7" s="30">
        <v>0.064937</v>
      </c>
      <c r="B7" s="31">
        <v>60.78106346656833</v>
      </c>
      <c r="C7" s="31">
        <v>64.97709603171712</v>
      </c>
      <c r="D7" s="32">
        <v>70.20006444675428</v>
      </c>
      <c r="E7" s="31">
        <v>76.89087771211851</v>
      </c>
      <c r="F7" s="31">
        <v>85.78500273347521</v>
      </c>
    </row>
    <row r="8" spans="1:6" x14ac:dyDescent="0.25">
      <c r="A8" s="30">
        <v>0.074937</v>
      </c>
      <c r="B8" s="31">
        <v>49.48353540888036</v>
      </c>
      <c r="C8" s="31">
        <v>51.98285745026613</v>
      </c>
      <c r="D8" s="31">
        <v>54.96448038685954</v>
      </c>
      <c r="E8" s="31">
        <v>58.589396573025915</v>
      </c>
      <c r="F8" s="31">
        <v>63.099221521788124</v>
      </c>
    </row>
    <row r="9" spans="1:6" x14ac:dyDescent="0.25">
      <c r="A9" s="30">
        <v>0.084937</v>
      </c>
      <c r="B9" s="31">
        <v>41.40706437009111</v>
      </c>
      <c r="C9" s="31">
        <v>42.97656305791664</v>
      </c>
      <c r="D9" s="31">
        <v>44.79337988809001</v>
      </c>
      <c r="E9" s="31">
        <v>46.92504261304068</v>
      </c>
      <c r="F9" s="31">
        <v>49.46612416309404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14205000000</v>
      </c>
      <c r="C5" s="18">
        <v>14169000000</v>
      </c>
      <c r="D5" s="18">
        <v>14607000000</v>
      </c>
      <c r="E5" s="18">
        <v>14453000000</v>
      </c>
      <c r="F5" s="8" t="s">
        <v>84</v>
      </c>
    </row>
    <row r="6" spans="1:6" x14ac:dyDescent="0.25">
      <c r="A6" t="s">
        <v>44</v>
      </c>
      <c r="B6" s="18">
        <v>3426000000</v>
      </c>
      <c r="C6" s="18">
        <v>3439000000</v>
      </c>
      <c r="D6" s="18">
        <v>3347000000</v>
      </c>
      <c r="E6" s="18">
        <v>3402000000</v>
      </c>
      <c r="F6" s="8" t="s">
        <v>85</v>
      </c>
    </row>
    <row r="7" spans="1:6" x14ac:dyDescent="0.25">
      <c r="A7" t="s">
        <v>86</v>
      </c>
      <c r="B7" s="18">
        <v>499000000</v>
      </c>
      <c r="C7" s="18">
        <v>461000000</v>
      </c>
      <c r="D7" s="18">
        <v>470000000</v>
      </c>
      <c r="E7" s="18">
        <v>604000000</v>
      </c>
      <c r="F7" s="8" t="s">
        <v>87</v>
      </c>
    </row>
    <row r="8" spans="1:6" x14ac:dyDescent="0.25">
      <c r="A8" t="s">
        <v>88</v>
      </c>
      <c r="B8" s="18">
        <v>615000000</v>
      </c>
      <c r="C8" s="18">
        <v>465000000</v>
      </c>
      <c r="D8" s="18">
        <v>449000000</v>
      </c>
      <c r="E8" s="18">
        <v>443000000</v>
      </c>
      <c r="F8" s="8" t="s">
        <v>89</v>
      </c>
    </row>
    <row r="9" spans="1:6" x14ac:dyDescent="0.25">
      <c r="A9" t="s">
        <v>90</v>
      </c>
      <c r="B9" s="18">
        <v>328000000</v>
      </c>
      <c r="C9" s="18">
        <v>146000000</v>
      </c>
      <c r="D9" s="18">
        <v>60000000</v>
      </c>
      <c r="E9" s="18">
        <v>422000000</v>
      </c>
      <c r="F9" s="8" t="s">
        <v>91</v>
      </c>
    </row>
    <row r="10" spans="1:6" x14ac:dyDescent="0.25">
      <c r="A10" t="s">
        <v>92</v>
      </c>
      <c r="B10" s="18">
        <v>8430000000</v>
      </c>
      <c r="C10" s="18">
        <v>8658000000</v>
      </c>
      <c r="D10" s="18">
        <v>8537000000</v>
      </c>
      <c r="E10" s="18">
        <v>8884000000</v>
      </c>
      <c r="F10" s="8" t="s">
        <v>93</v>
      </c>
    </row>
    <row r="11" spans="1:6" x14ac:dyDescent="0.25">
      <c r="A11" t="s">
        <v>94</v>
      </c>
      <c r="B11" s="18">
        <v>1770000000</v>
      </c>
      <c r="C11" s="18">
        <v>760000000</v>
      </c>
      <c r="D11" s="18">
        <v>1158000000</v>
      </c>
      <c r="E11" s="18">
        <v>881000000</v>
      </c>
      <c r="F11" s="8" t="s">
        <v>95</v>
      </c>
    </row>
    <row r="12" spans="1:6" x14ac:dyDescent="0.25">
      <c r="A12" t="s">
        <v>32</v>
      </c>
      <c r="B12" s="34">
        <v>653897005</v>
      </c>
      <c r="C12" s="34">
        <v>673672569</v>
      </c>
      <c r="D12" s="34">
        <v>689552192</v>
      </c>
      <c r="E12" s="34">
        <v>688794822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