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<sst xmlns="http://schemas.openxmlformats.org/spreadsheetml/2006/main" count="119" uniqueCount="106">
  <si>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Ralph Lauren Corporation (RL)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</si>
  <si>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</si>
  <si>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</si>
  <si>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</si>
  <si>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</si>
  <si>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</si>
  <si>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</si>
  <si>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</si>
  <si>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</si>
  <si>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</si>
  <si>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</si>
  <si>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</si>
  <si>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</si>
  <si>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</si>
  <si>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</si>
  <si>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</si>
  <si>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</si>
  <si>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</si>
  <si>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</si>
  <si>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</si>
  <si>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</si>
  <si>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</si>
  <si>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</si>
  <si>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</si>
  <si>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23.9x interest cover. Book interest / average debt was lower, at 1.9%.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</si>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</sst>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0.07057975106291203</v>
      </c>
    </row>
    <row r="7" spans="1:2" x14ac:dyDescent="0.25">
      <c r="A7" t="s">
        <v>4</v>
      </c>
      <c r="B7" s="5">
        <v>0.13563349268581898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0.032122010060803924</v>
      </c>
    </row>
    <row r="10" spans="1:3" x14ac:dyDescent="0.25">
      <c r="A10" t="s">
        <v>7</v>
      </c>
      <c r="B10" s="5">
        <v>0.036129235186429326</v>
      </c>
      <c r="C10" s="6" t="s">
        <v>8</v>
      </c>
    </row>
    <row r="11" spans="1:2" x14ac:dyDescent="0.25">
      <c r="A11" t="s">
        <v>9</v>
      </c>
      <c r="B11" s="5">
        <v>0.14537440040438585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15.913529864732405</v>
      </c>
    </row>
    <row r="14" spans="1:3" x14ac:dyDescent="0.25">
      <c r="A14" t="s">
        <v>12</v>
      </c>
      <c r="B14" s="5">
        <v>0.19624342490615962</v>
      </c>
      <c r="C14" s="6" t="s">
        <v>13</v>
      </c>
    </row>
    <row r="15" spans="1:3" x14ac:dyDescent="0.25">
      <c r="A15" t="s">
        <v>14</v>
      </c>
      <c r="B15" s="5">
        <v>0.03029974329687115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1.23785</v>
      </c>
      <c r="C19" s="6" t="s">
        <v>21</v>
      </c>
    </row>
    <row r="20" spans="1:2" x14ac:dyDescent="0.25">
      <c r="A20" t="s">
        <v>22</v>
      </c>
      <c r="B20" s="9">
        <f>B17+B19*B18</f>
        <v>0.101301055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23408074752</v>
      </c>
    </row>
    <row r="23" spans="1:2" x14ac:dyDescent="0.25">
      <c r="A23" t="s">
        <v>26</v>
      </c>
      <c r="B23" s="10">
        <v>3009400000</v>
      </c>
    </row>
    <row r="24" spans="1:2" x14ac:dyDescent="0.25">
      <c r="A24" t="s">
        <v>27</v>
      </c>
      <c r="B24" s="9">
        <f>B22/(B22+B23)</f>
        <v>0.8860829799876249</v>
      </c>
    </row>
    <row r="25" spans="1:2" x14ac:dyDescent="0.25">
      <c r="A25" t="s">
        <v>28</v>
      </c>
      <c r="B25" s="9">
        <f>1-B24</f>
        <v>0.11391702001237514</v>
      </c>
    </row>
    <row r="26" spans="1:2" x14ac:dyDescent="0.25">
      <c r="A26" t="s">
        <v>29</v>
      </c>
      <c r="B26" s="11">
        <f>B24*B20+B25*B21*(1-B8)</f>
        <v>0.09452544665145984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8114500000</v>
      </c>
      <c r="C29" s="6" t="s">
        <v>32</v>
      </c>
    </row>
    <row r="30" spans="1:2" x14ac:dyDescent="0.25">
      <c r="A30" t="s">
        <v>33</v>
      </c>
      <c r="B30" s="10">
        <v>944400000</v>
      </c>
    </row>
    <row r="31" spans="1:2" x14ac:dyDescent="0.25">
      <c r="A31" t="s">
        <v>34</v>
      </c>
      <c r="B31" s="12">
        <v>62300000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0.07057975106291203</v>
      </c>
      <c r="C5" s="5">
        <v>0.05138032435485673</v>
      </c>
      <c r="D5" s="5">
        <v>0.048082783810499644</v>
      </c>
      <c r="E5" s="5">
        <v>0.04478524326614255</v>
      </c>
      <c r="F5" s="5">
        <v>0.04148770272178546</v>
      </c>
      <c r="G5" s="5">
        <v>0.03819016217742836</v>
      </c>
      <c r="H5" s="5">
        <v>0.034892621633071275</v>
      </c>
      <c r="I5" s="5">
        <v>0.031595081088714186</v>
      </c>
      <c r="J5" s="5">
        <v>0.028297540544357094</v>
      </c>
      <c r="K5" s="5">
        <v>0.025</v>
      </c>
    </row>
    <row r="6" spans="1:11" x14ac:dyDescent="0.25">
      <c r="A6" t="s">
        <v>50</v>
      </c>
      <c r="B6" s="18">
        <f>Assumptions!B29*(1+B5)</f>
        <v>8687219390</v>
      </c>
      <c r="C6" s="18">
        <f>B6*(1+C5)</f>
        <v>9133571540</v>
      </c>
      <c r="D6" s="18">
        <f>C6*(1+D5)</f>
        <v>9572739085.77555</v>
      </c>
      <c r="E6" s="18">
        <f>D6*(1+E5)</f>
        <v>10001456534.45532</v>
      </c>
      <c r="F6" s="18">
        <f>E6*(1+F5)</f>
        <v>10416393989.941662</v>
      </c>
      <c r="G6" s="18">
        <f>F6*(1+G5)</f>
        <v>10814197765.721523</v>
      </c>
      <c r="H6" s="18">
        <f>G6*(1+H5)</f>
        <v>11191533476.62605</v>
      </c>
      <c r="I6" s="18">
        <f>H6*(1+I5)</f>
        <v>11545130884.32711</v>
      </c>
      <c r="J6" s="18">
        <f>I6*(1+J5)</f>
        <v>11871829693.616266</v>
      </c>
      <c r="K6" s="18">
        <f>J6*(1+K5)</f>
        <v>12168625435.956673</v>
      </c>
    </row>
    <row r="7" spans="1:11" x14ac:dyDescent="0.25">
      <c r="A7" t="s">
        <v>4</v>
      </c>
      <c r="B7" s="9">
        <f>Assumptions!B7</f>
        <v>0.13563349268581898</v>
      </c>
      <c r="C7" s="9">
        <f>Assumptions!B7</f>
        <v>0.13563349268581898</v>
      </c>
      <c r="D7" s="9">
        <f>Assumptions!B7</f>
        <v>0.13563349268581898</v>
      </c>
      <c r="E7" s="9">
        <f>Assumptions!B7</f>
        <v>0.13563349268581898</v>
      </c>
      <c r="F7" s="9">
        <f>Assumptions!B7</f>
        <v>0.13563349268581898</v>
      </c>
      <c r="G7" s="9">
        <f>Assumptions!B7</f>
        <v>0.13563349268581898</v>
      </c>
      <c r="H7" s="9">
        <f>Assumptions!B7</f>
        <v>0.13563349268581898</v>
      </c>
      <c r="I7" s="9">
        <f>Assumptions!B7</f>
        <v>0.13563349268581898</v>
      </c>
      <c r="J7" s="9">
        <f>Assumptions!B7</f>
        <v>0.13563349268581898</v>
      </c>
      <c r="K7" s="9">
        <f>Assumptions!B7</f>
        <v>0.13563349268581898</v>
      </c>
    </row>
    <row r="8" spans="1:11" x14ac:dyDescent="0.25">
      <c r="A8" t="s">
        <v>51</v>
      </c>
      <c r="B8" s="18">
        <f>B6*B7</f>
        <v>1178277907.59367</v>
      </c>
      <c r="C8" s="18">
        <f>C6*C7</f>
        <v>1238818208.6659944</v>
      </c>
      <c r="D8" s="18">
        <f>D6*D7</f>
        <v>1298384036.7737916</v>
      </c>
      <c r="E8" s="18">
        <f>E6*E7</f>
        <v>1356532481.713582</v>
      </c>
      <c r="F8" s="18">
        <f>F6*F7</f>
        <v>1412811898.0473611</v>
      </c>
      <c r="G8" s="18">
        <f>G6*G7</f>
        <v>1466767413.5599902</v>
      </c>
      <c r="H8" s="18">
        <f>H6*H7</f>
        <v>1517946773.9450576</v>
      </c>
      <c r="I8" s="18">
        <f>I6*I7</f>
        <v>1565906425.356204</v>
      </c>
      <c r="J8" s="18">
        <f>J6*J7</f>
        <v>1610217725.9163904</v>
      </c>
      <c r="K8" s="18">
        <f>K6*K7</f>
        <v>1650473169.0643</v>
      </c>
    </row>
    <row r="9" spans="1:11" x14ac:dyDescent="0.25">
      <c r="A9" t="s">
        <v>52</v>
      </c>
      <c r="B9" s="18">
        <f>B8*(1-Assumptions!B8)</f>
        <v>930839546.9989992</v>
      </c>
      <c r="C9" s="18">
        <f>C8*(1-Assumptions!B8)</f>
        <v>978666384.8461356</v>
      </c>
      <c r="D9" s="18">
        <f>D8*(1-Assumptions!B8)</f>
        <v>1025723389.0512954</v>
      </c>
      <c r="E9" s="18">
        <f>E8*(1-Assumptions!B8)</f>
        <v>1071660660.5537299</v>
      </c>
      <c r="F9" s="18">
        <f>F8*(1-Assumptions!B8)</f>
        <v>1116121399.4574153</v>
      </c>
      <c r="G9" s="18">
        <f>G8*(1-Assumptions!B8)</f>
        <v>1158746256.7123923</v>
      </c>
      <c r="H9" s="18">
        <f>H8*(1-Assumptions!B8)</f>
        <v>1199177951.4165957</v>
      </c>
      <c r="I9" s="18">
        <f>I8*(1-Assumptions!B8)</f>
        <v>1237066076.0314012</v>
      </c>
      <c r="J9" s="18">
        <f>J8*(1-Assumptions!B8)</f>
        <v>1272072003.4739485</v>
      </c>
      <c r="K9" s="18">
        <f>K8*(1-Assumptions!B8)</f>
        <v>1303873803.5607972</v>
      </c>
    </row>
    <row r="10" spans="1:11" x14ac:dyDescent="0.25">
      <c r="A10" t="s">
        <v>53</v>
      </c>
      <c r="B10" s="18">
        <f>B6*Assumptions!B9</f>
        <v>279050948.6459909</v>
      </c>
      <c r="C10" s="18">
        <f>C6*Assumptions!B9</f>
        <v>293388676.89895236</v>
      </c>
      <c r="D10" s="18">
        <f>D6*Assumptions!B9</f>
        <v>307495621.2227332</v>
      </c>
      <c r="E10" s="18">
        <f>E6*Assumptions!B9</f>
        <v>321266887.42246693</v>
      </c>
      <c r="F10" s="18">
        <f>F6*Assumptions!B9</f>
        <v>334595512.5422036</v>
      </c>
      <c r="G10" s="18">
        <f>G6*Assumptions!B9</f>
        <v>347373769.4300301</v>
      </c>
      <c r="H10" s="18">
        <f>H6*Assumptions!B9</f>
        <v>359494550.93200594</v>
      </c>
      <c r="I10" s="18">
        <f>I6*Assumptions!B9</f>
        <v>370852810.41965353</v>
      </c>
      <c r="J10" s="18">
        <f>J6*Assumptions!B9</f>
        <v>381347032.8584925</v>
      </c>
      <c r="K10" s="18">
        <f>K6*Assumptions!B9</f>
        <v>390880708.67995477</v>
      </c>
    </row>
    <row r="11" spans="1:11" x14ac:dyDescent="0.25">
      <c r="A11" t="s">
        <v>54</v>
      </c>
      <c r="B11" s="18">
        <f>-B6*B19</f>
        <v>-313862592.4574191</v>
      </c>
      <c r="C11" s="18">
        <f>-C6*C19</f>
        <v>-338111844.32301515</v>
      </c>
      <c r="D11" s="18">
        <f>-D6*D19</f>
        <v>-362882664.2664266</v>
      </c>
      <c r="E11" s="18">
        <f>-E6*E19</f>
        <v>-388029191.3239034</v>
      </c>
      <c r="F11" s="18">
        <f>-F6*F19</f>
        <v>-413391391.9955287</v>
      </c>
      <c r="G11" s="18">
        <f>-G6*G19</f>
        <v>-438796421.7656606</v>
      </c>
      <c r="H11" s="18">
        <f>-H6*H19</f>
        <v>-464060306.12636656</v>
      </c>
      <c r="I11" s="18">
        <f>-I6*I19</f>
        <v>-488989925.8202359</v>
      </c>
      <c r="J11" s="18">
        <f>-J6*J19</f>
        <v>-513385282.49734753</v>
      </c>
      <c r="K11" s="18">
        <f>-K6*K19</f>
        <v>-537042012.5958482</v>
      </c>
    </row>
    <row r="12" spans="1:11" x14ac:dyDescent="0.25">
      <c r="A12" t="s">
        <v>55</v>
      </c>
      <c r="B12" s="18">
        <f>-(B6-Assumptions!B29)*Assumptions!B11</f>
        <v>-83258737.92121561</v>
      </c>
      <c r="C12" s="18">
        <f>-(C6-B6)*Assumptions!B11</f>
        <v>-64888176.17545849</v>
      </c>
      <c r="D12" s="18">
        <f>-(D6-C6)*Assumptions!B11</f>
        <v>-63843718.64418638</v>
      </c>
      <c r="E12" s="18">
        <f>-(E6-D6)*Assumptions!B11</f>
        <v>-62324542.044719554</v>
      </c>
      <c r="F12" s="18">
        <f>-(F6-E6)*Assumptions!B11</f>
        <v>-60321283.796648435</v>
      </c>
      <c r="G12" s="18">
        <f>-(G6-F6)*Assumptions!B11</f>
        <v>-57830485.38259811</v>
      </c>
      <c r="H12" s="18">
        <f>-(H6-G6)*Assumptions!B11</f>
        <v>-54854952.72390839</v>
      </c>
      <c r="I12" s="18">
        <f>-(I6-H6)*Assumptions!B11</f>
        <v>-51404011.129086666</v>
      </c>
      <c r="J12" s="18">
        <f>-(J6-I6)*Assumptions!B11</f>
        <v>-47493643.51323785</v>
      </c>
      <c r="K12" s="18">
        <f>-(K6-J6)*Assumptions!B11</f>
        <v>-43146503.085311174</v>
      </c>
    </row>
    <row r="13" spans="1:11" x14ac:dyDescent="0.25">
      <c r="A13" s="19" t="s">
        <v>56</v>
      </c>
      <c r="B13" s="20">
        <f>B9+B10+B11+B12</f>
        <v>812769165.2663554</v>
      </c>
      <c r="C13" s="20">
        <f>C9+C10+C11+C12</f>
        <v>869055041.2466145</v>
      </c>
      <c r="D13" s="20">
        <f>D9+D10+D11+D12</f>
        <v>906492627.3634156</v>
      </c>
      <c r="E13" s="20">
        <f>E9+E10+E11+E12</f>
        <v>942573814.6075739</v>
      </c>
      <c r="F13" s="20">
        <f>F9+F10+F11+F12</f>
        <v>977004236.2074419</v>
      </c>
      <c r="G13" s="20">
        <f>G9+G10+G11+G12</f>
        <v>1009493118.9941638</v>
      </c>
      <c r="H13" s="20">
        <f>H9+H10+H11+H12</f>
        <v>1039757243.4983265</v>
      </c>
      <c r="I13" s="20">
        <f>I9+I10+I11+I12</f>
        <v>1067524949.501732</v>
      </c>
      <c r="J13" s="20">
        <f>J9+J10+J11+J12</f>
        <v>1092540110.3218553</v>
      </c>
      <c r="K13" s="20">
        <f>K9+K10+K11+K12</f>
        <v>1114565996.5595925</v>
      </c>
    </row>
    <row r="14" spans="1:11" x14ac:dyDescent="0.25">
      <c r="A14" t="s">
        <v>57</v>
      </c>
      <c r="B14" s="21">
        <f>1/(1+Assumptions!$B$26)^(1-0.5*Assumptions!$B$32)</f>
        <v>0.9558441104223697</v>
      </c>
      <c r="C14" s="21">
        <f>1/(1+Assumptions!$B$26)^(2-0.5*Assumptions!$B$32)</f>
        <v>0.8732954664020235</v>
      </c>
      <c r="D14" s="21">
        <f>1/(1+Assumptions!$B$26)^(3-0.5*Assumptions!$B$32)</f>
        <v>0.7978758913954381</v>
      </c>
      <c r="E14" s="21">
        <f>1/(1+Assumptions!$B$26)^(4-0.5*Assumptions!$B$32)</f>
        <v>0.7289697044837308</v>
      </c>
      <c r="F14" s="21">
        <f>1/(1+Assumptions!$B$26)^(5-0.5*Assumptions!$B$32)</f>
        <v>0.6660143962060515</v>
      </c>
      <c r="G14" s="21">
        <f>1/(1+Assumptions!$B$26)^(6-0.5*Assumptions!$B$32)</f>
        <v>0.6084960365641795</v>
      </c>
      <c r="H14" s="21">
        <f>1/(1+Assumptions!$B$26)^(7-0.5*Assumptions!$B$32)</f>
        <v>0.5559450796011951</v>
      </c>
      <c r="I14" s="21">
        <f>1/(1+Assumptions!$B$26)^(8-0.5*Assumptions!$B$32)</f>
        <v>0.5079325303052822</v>
      </c>
      <c r="J14" s="21">
        <f>1/(1+Assumptions!$B$26)^(9-0.5*Assumptions!$B$32)</f>
        <v>0.4640664425475235</v>
      </c>
      <c r="K14" s="21">
        <f>1/(1+Assumptions!$B$26)^(10-0.5*Assumptions!$B$32)</f>
        <v>0.42398871946492134</v>
      </c>
    </row>
    <row r="15" spans="1:11" x14ac:dyDescent="0.25">
      <c r="A15" s="19" t="s">
        <v>58</v>
      </c>
      <c r="B15" s="20">
        <f>B13*B14</f>
        <v>776880619.7527515</v>
      </c>
      <c r="C15" s="20">
        <f>C13*C14</f>
        <v>758941827.574492</v>
      </c>
      <c r="D15" s="20">
        <f>D13*D14</f>
        <v>723268613.1009779</v>
      </c>
      <c r="E15" s="20">
        <f>E13*E14</f>
        <v>687107755.088586</v>
      </c>
      <c r="F15" s="20">
        <f>F13*F14</f>
        <v>650698886.468454</v>
      </c>
      <c r="G15" s="20">
        <f>G13*G14</f>
        <v>614272561.8467603</v>
      </c>
      <c r="H15" s="20">
        <f>H13*H14</f>
        <v>578047923.5025964</v>
      </c>
      <c r="I15" s="20">
        <f>I13*I14</f>
        <v>542230648.7644333</v>
      </c>
      <c r="J15" s="20">
        <f>J13*J14</f>
        <v>507011202.33754224</v>
      </c>
      <c r="K15" s="20">
        <f>K13*K14</f>
        <v>472563409.64044553</v>
      </c>
    </row>
    <row r="17" spans="1:2" x14ac:dyDescent="0.25">
      <c r="A17" s="22" t="s">
        <v>59</v>
      </c>
      <c r="B17" s="23">
        <f>SUM(B15:K15)</f>
        <v>6311023448.077039</v>
      </c>
    </row>
    <row r="19" spans="1:11" x14ac:dyDescent="0.25">
      <c r="A19" t="s">
        <v>7</v>
      </c>
      <c r="B19" s="9">
        <f>Assumptions!$B$10+($B$20-Assumptions!$B$10)*0/9</f>
        <v>0.036129235186429326</v>
      </c>
      <c r="C19" s="9">
        <f>Assumptions!$B$10+($B$20-Assumptions!$B$10)*1/9</f>
        <v>0.03701857951648728</v>
      </c>
      <c r="D19" s="9">
        <f>Assumptions!$B$10+($B$20-Assumptions!$B$10)*2/9</f>
        <v>0.03790792384654523</v>
      </c>
      <c r="E19" s="9">
        <f>Assumptions!$B$10+($B$20-Assumptions!$B$10)*3/9</f>
        <v>0.038797268176603186</v>
      </c>
      <c r="F19" s="9">
        <f>Assumptions!$B$10+($B$20-Assumptions!$B$10)*4/9</f>
        <v>0.03968661250666114</v>
      </c>
      <c r="G19" s="9">
        <f>Assumptions!$B$10+($B$20-Assumptions!$B$10)*5/9</f>
        <v>0.04057595683671909</v>
      </c>
      <c r="H19" s="9">
        <f>Assumptions!$B$10+($B$20-Assumptions!$B$10)*6/9</f>
        <v>0.04146530116677705</v>
      </c>
      <c r="I19" s="9">
        <f>Assumptions!$B$10+($B$20-Assumptions!$B$10)*7/9</f>
        <v>0.042354645496835</v>
      </c>
      <c r="J19" s="9">
        <f>Assumptions!$B$10+($B$20-Assumptions!$B$10)*8/9</f>
        <v>0.04324398982689295</v>
      </c>
      <c r="K19" s="9">
        <f>Assumptions!$B$10+($B$20-Assumptions!$B$10)*9/9</f>
        <v>0.04413333415695091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0.04413333415695091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1114565996.5595925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1321391644.0996027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0.12739280315737758</v>
      </c>
    </row>
    <row r="7" spans="1:2" x14ac:dyDescent="0.25">
      <c r="A7" t="s">
        <v>66</v>
      </c>
      <c r="B7" s="18">
        <f>-MAX(B5,0)*B6</f>
        <v>-168335785.61058423</v>
      </c>
    </row>
    <row r="8" spans="1:2" x14ac:dyDescent="0.25">
      <c r="A8" t="s">
        <v>67</v>
      </c>
      <c r="B8" s="18">
        <f>IF(OR(Assumptions!$B$33=0,Assumptions!B12&lt;=0),B5,MAX(B5+B7,0))</f>
        <v>1153055858.4890184</v>
      </c>
    </row>
    <row r="9" spans="1:2" x14ac:dyDescent="0.25">
      <c r="A9" t="s">
        <v>68</v>
      </c>
      <c r="B9" s="18">
        <f>B8*(1+Assumptions!B12)/(Assumptions!B26-Assumptions!B12)</f>
        <v>16999275975.545675</v>
      </c>
    </row>
    <row r="10" spans="1:2" x14ac:dyDescent="0.25">
      <c r="A10" t="s">
        <v>69</v>
      </c>
      <c r="B10" s="18">
        <f>B9/(1+Assumptions!B26)^(10-0.5*Assumptions!B32)</f>
        <v>7207501252.702413</v>
      </c>
    </row>
    <row r="11" spans="1:2" x14ac:dyDescent="0.25">
      <c r="A11" t="s">
        <v>70</v>
      </c>
      <c r="B11" s="18">
        <f>Forecast!B17+B10</f>
        <v>13518524700.779451</v>
      </c>
    </row>
    <row r="12" spans="1:2" x14ac:dyDescent="0.25">
      <c r="A12" t="s">
        <v>71</v>
      </c>
      <c r="B12" s="18">
        <f>-Assumptions!B30</f>
        <v>-944400000</v>
      </c>
    </row>
    <row r="13" spans="1:2" x14ac:dyDescent="0.25">
      <c r="A13" t="s">
        <v>72</v>
      </c>
      <c r="B13" s="18">
        <f>B11+B12</f>
        <v>12574124700.779451</v>
      </c>
    </row>
    <row r="14" spans="1:2" x14ac:dyDescent="0.25">
      <c r="A14" s="19" t="s">
        <v>73</v>
      </c>
      <c r="B14" s="24">
        <f>B13/Assumptions!B31</f>
        <v>201.8318571553684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2041353877.7442548</v>
      </c>
    </row>
    <row r="18" spans="1:2" x14ac:dyDescent="0.25">
      <c r="A18" t="s">
        <v>68</v>
      </c>
      <c r="B18" s="18">
        <f>B17*Assumptions!B13</f>
        <v>32485145897.9705</v>
      </c>
    </row>
    <row r="19" spans="1:2" x14ac:dyDescent="0.25">
      <c r="A19" t="s">
        <v>69</v>
      </c>
      <c r="B19" s="18">
        <f>B18/(1+Assumptions!B26)^(10-0.5*Assumptions!B32)</f>
        <v>13773335410.911655</v>
      </c>
    </row>
    <row r="20" spans="1:2" x14ac:dyDescent="0.25">
      <c r="A20" t="s">
        <v>70</v>
      </c>
      <c r="B20" s="18">
        <f>Forecast!B17+B19</f>
        <v>20084358858.988693</v>
      </c>
    </row>
    <row r="21" spans="1:2" x14ac:dyDescent="0.25">
      <c r="A21" t="s">
        <v>71</v>
      </c>
      <c r="B21" s="18">
        <f>-Assumptions!B30</f>
        <v>-944400000</v>
      </c>
    </row>
    <row r="22" spans="1:2" x14ac:dyDescent="0.25">
      <c r="A22" t="s">
        <v>72</v>
      </c>
      <c r="B22" s="18">
        <f>B20+B21</f>
        <v>19139958858.988693</v>
      </c>
    </row>
    <row r="23" spans="1:2" x14ac:dyDescent="0.25">
      <c r="A23" s="19" t="s">
        <v>73</v>
      </c>
      <c r="B23" s="25">
        <f>B22/Assumptions!B31</f>
        <v>307.2224535953241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392.87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201.8318571553684</v>
      </c>
    </row>
    <row r="29" spans="1:2" x14ac:dyDescent="0.25">
      <c r="A29" s="19" t="s">
        <v>81</v>
      </c>
      <c r="B29" s="11">
        <f>B28/B26-1</f>
        <v>-0.48626299499740777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0.074525</v>
      </c>
      <c r="B5" s="31">
        <v>266.94690062537194</v>
      </c>
      <c r="C5" s="31">
        <v>276.69044277923217</v>
      </c>
      <c r="D5" s="31">
        <v>288.65532322928226</v>
      </c>
      <c r="E5" s="31">
        <v>303.5898872746315</v>
      </c>
      <c r="F5" s="31">
        <v>322.62114956245233</v>
      </c>
    </row>
    <row r="6" spans="1:6" x14ac:dyDescent="0.25">
      <c r="A6" s="30">
        <v>0.084525</v>
      </c>
      <c r="B6" s="31">
        <v>225.66974771874192</v>
      </c>
      <c r="C6" s="31">
        <v>231.23224264186933</v>
      </c>
      <c r="D6" s="31">
        <v>237.92906507148504</v>
      </c>
      <c r="E6" s="31">
        <v>246.07227209328028</v>
      </c>
      <c r="F6" s="31">
        <v>256.0999408174559</v>
      </c>
    </row>
    <row r="7" spans="1:6" x14ac:dyDescent="0.25">
      <c r="A7" s="30">
        <v>0.094525</v>
      </c>
      <c r="B7" s="31">
        <v>194.85808781722827</v>
      </c>
      <c r="C7" s="31">
        <v>198.03611778636974</v>
      </c>
      <c r="D7" s="32">
        <v>201.83323668362684</v>
      </c>
      <c r="E7" s="31">
        <v>206.393362896008</v>
      </c>
      <c r="F7" s="31">
        <v>211.90877042144476</v>
      </c>
    </row>
    <row r="8" spans="1:6" x14ac:dyDescent="0.25">
      <c r="A8" s="30">
        <v>0.104525</v>
      </c>
      <c r="B8" s="31">
        <v>170.99867949512478</v>
      </c>
      <c r="C8" s="31">
        <v>172.74516597504368</v>
      </c>
      <c r="D8" s="31">
        <v>174.84544577062334</v>
      </c>
      <c r="E8" s="31">
        <v>177.37072853949434</v>
      </c>
      <c r="F8" s="31">
        <v>180.41270855852642</v>
      </c>
    </row>
    <row r="9" spans="1:6" x14ac:dyDescent="0.25">
      <c r="A9" s="30">
        <v>0.114525</v>
      </c>
      <c r="B9" s="31">
        <v>151.99081069246168</v>
      </c>
      <c r="C9" s="31">
        <v>152.8466030007397</v>
      </c>
      <c r="D9" s="31">
        <v>153.91101330062443</v>
      </c>
      <c r="E9" s="31">
        <v>155.22106341848792</v>
      </c>
      <c r="F9" s="31">
        <v>156.82308591980876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8114500000</v>
      </c>
      <c r="C5" s="18">
        <v>7079000000</v>
      </c>
      <c r="D5" s="18">
        <v>6631400000</v>
      </c>
      <c r="E5" s="18">
        <v>6443600000</v>
      </c>
      <c r="F5" s="6" t="s">
        <v>91</v>
      </c>
    </row>
    <row r="6" spans="1:6" x14ac:dyDescent="0.25">
      <c r="A6" t="s">
        <v>51</v>
      </c>
      <c r="B6" s="18">
        <v>1297300000</v>
      </c>
      <c r="C6" s="18">
        <v>989900000</v>
      </c>
      <c r="D6" s="18">
        <v>831300000</v>
      </c>
      <c r="E6" s="18">
        <v>756900000</v>
      </c>
      <c r="F6" s="6" t="s">
        <v>92</v>
      </c>
    </row>
    <row r="7" spans="1:6" x14ac:dyDescent="0.25">
      <c r="A7" t="s">
        <v>93</v>
      </c>
      <c r="B7" s="18">
        <v>233000000</v>
      </c>
      <c r="C7" s="18">
        <v>219600000</v>
      </c>
      <c r="D7" s="18">
        <v>229000000</v>
      </c>
      <c r="E7" s="18">
        <v>220500000</v>
      </c>
      <c r="F7" s="6" t="s">
        <v>94</v>
      </c>
    </row>
    <row r="8" spans="1:6" x14ac:dyDescent="0.25">
      <c r="A8" t="s">
        <v>95</v>
      </c>
      <c r="B8" s="18">
        <v>449300000</v>
      </c>
      <c r="C8" s="18">
        <v>216200000</v>
      </c>
      <c r="D8" s="18">
        <v>164800000</v>
      </c>
      <c r="E8" s="18">
        <v>217500000</v>
      </c>
      <c r="F8" s="6" t="s">
        <v>96</v>
      </c>
    </row>
    <row r="9" spans="1:6" x14ac:dyDescent="0.25">
      <c r="A9" t="s">
        <v>97</v>
      </c>
      <c r="B9" s="18">
        <v>158300000</v>
      </c>
      <c r="C9" s="18">
        <v>-201900000</v>
      </c>
      <c r="D9" s="18">
        <v>-115000000</v>
      </c>
      <c r="E9" s="18">
        <v>424600000</v>
      </c>
      <c r="F9" s="6" t="s">
        <v>98</v>
      </c>
    </row>
    <row r="10" spans="1:6" x14ac:dyDescent="0.25">
      <c r="A10" t="s">
        <v>99</v>
      </c>
      <c r="B10" s="18">
        <v>3009400000</v>
      </c>
      <c r="C10" s="18">
        <v>2668100000</v>
      </c>
      <c r="D10" s="18">
        <v>2675300000</v>
      </c>
      <c r="E10" s="18">
        <v>2881900000</v>
      </c>
      <c r="F10" s="6" t="s">
        <v>100</v>
      </c>
    </row>
    <row r="11" spans="1:6" x14ac:dyDescent="0.25">
      <c r="A11" t="s">
        <v>101</v>
      </c>
      <c r="B11" s="18">
        <v>2065000000</v>
      </c>
      <c r="C11" s="18">
        <v>2083000000</v>
      </c>
      <c r="D11" s="18">
        <v>1783200000</v>
      </c>
      <c r="E11" s="18">
        <v>1565700000</v>
      </c>
      <c r="F11" s="6" t="s">
        <v>102</v>
      </c>
    </row>
    <row r="12" spans="1:6" x14ac:dyDescent="0.25">
      <c r="A12" t="s">
        <v>34</v>
      </c>
      <c r="B12" s="34">
        <v>62300000</v>
      </c>
      <c r="C12" s="34">
        <v>64000000</v>
      </c>
      <c r="D12" s="34">
        <v>66500000</v>
      </c>
      <c r="E12" s="34">
        <v>69000000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