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<sst xmlns="http://schemas.openxmlformats.org/spreadsheetml/2006/main" count="119" uniqueCount="106">
  <si>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ResMed Inc. (RMD)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</si>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</sst>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0.03196831028454694</v>
      </c>
    </row>
    <row r="7" spans="1:2" x14ac:dyDescent="0.25">
      <c r="A7" t="s">
        <v>4</v>
      </c>
      <c r="B7" s="5">
        <v>0.3083182295361509</v>
      </c>
    </row>
    <row r="8" spans="1:2" x14ac:dyDescent="0.25">
      <c r="A8" t="s">
        <v>5</v>
      </c>
      <c r="B8" s="5">
        <v>0.18903383685870026</v>
      </c>
    </row>
    <row r="9" spans="1:2" x14ac:dyDescent="0.25">
      <c r="A9" t="s">
        <v>6</v>
      </c>
      <c r="B9" s="5">
        <v>0.04548409597078152</v>
      </c>
    </row>
    <row r="10" spans="1:3" x14ac:dyDescent="0.25">
      <c r="A10" t="s">
        <v>7</v>
      </c>
      <c r="B10" s="5">
        <v>0.026785055746557915</v>
      </c>
      <c r="C10" s="6" t="s">
        <v>8</v>
      </c>
    </row>
    <row r="11" spans="1:2" x14ac:dyDescent="0.25">
      <c r="A11" t="s">
        <v>9</v>
      </c>
      <c r="B11" s="5">
        <v>0.3061160752323369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14.726003917101641</v>
      </c>
    </row>
    <row r="14" spans="1:3" x14ac:dyDescent="0.25">
      <c r="A14" t="s">
        <v>12</v>
      </c>
      <c r="B14" s="5">
        <v>0.2037173825396363</v>
      </c>
      <c r="C14" s="6" t="s">
        <v>13</v>
      </c>
    </row>
    <row r="15" spans="1:3" x14ac:dyDescent="0.25">
      <c r="A15" t="s">
        <v>14</v>
      </c>
      <c r="B15" s="5">
        <v>0.017501593506686956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0.8325</v>
      </c>
      <c r="C19" s="6" t="s">
        <v>21</v>
      </c>
    </row>
    <row r="20" spans="1:2" x14ac:dyDescent="0.25">
      <c r="A20" t="s">
        <v>22</v>
      </c>
      <c r="B20" s="9">
        <f>B17+B19*B18</f>
        <v>0.08415475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32342687744</v>
      </c>
    </row>
    <row r="23" spans="1:2" x14ac:dyDescent="0.25">
      <c r="A23" t="s">
        <v>26</v>
      </c>
      <c r="B23" s="10">
        <v>825919000</v>
      </c>
    </row>
    <row r="24" spans="1:2" x14ac:dyDescent="0.25">
      <c r="A24" t="s">
        <v>27</v>
      </c>
      <c r="B24" s="9">
        <f>B22/(B22+B23)</f>
        <v>0.9750993761548515</v>
      </c>
    </row>
    <row r="25" spans="1:2" x14ac:dyDescent="0.25">
      <c r="A25" t="s">
        <v>28</v>
      </c>
      <c r="B25" s="9">
        <f>1-B24</f>
        <v>0.024900623845148462</v>
      </c>
    </row>
    <row r="26" spans="1:2" x14ac:dyDescent="0.25">
      <c r="A26" t="s">
        <v>29</v>
      </c>
      <c r="B26" s="11">
        <f>B24*B20+B25*B21*(1-B8)</f>
        <v>0.08345138848485194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5653443000</v>
      </c>
      <c r="C29" s="6" t="s">
        <v>32</v>
      </c>
    </row>
    <row r="30" spans="1:2" x14ac:dyDescent="0.25">
      <c r="A30" t="s">
        <v>33</v>
      </c>
      <c r="B30" s="10">
        <v>-643315000</v>
      </c>
    </row>
    <row r="31" spans="1:2" x14ac:dyDescent="0.25">
      <c r="A31" t="s">
        <v>34</v>
      </c>
      <c r="B31" s="12">
        <v>144239563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0.03196831028454694</v>
      </c>
      <c r="C5" s="5">
        <v>0.06203125219771888</v>
      </c>
      <c r="D5" s="5">
        <v>0.05740234567300402</v>
      </c>
      <c r="E5" s="5">
        <v>0.05277343914828916</v>
      </c>
      <c r="F5" s="5">
        <v>0.0481445326235743</v>
      </c>
      <c r="G5" s="5">
        <v>0.043515626098859436</v>
      </c>
      <c r="H5" s="5">
        <v>0.03888671957414458</v>
      </c>
      <c r="I5" s="5">
        <v>0.03425781304942972</v>
      </c>
      <c r="J5" s="5">
        <v>0.02962890652471486</v>
      </c>
      <c r="K5" s="5">
        <v>0.025</v>
      </c>
    </row>
    <row r="6" spans="1:11" x14ac:dyDescent="0.25">
      <c r="A6" t="s">
        <v>50</v>
      </c>
      <c r="B6" s="18">
        <f>Assumptions!B29*(1+B5)</f>
        <v>5834174020</v>
      </c>
      <c r="C6" s="18">
        <f>B6*(1+C5)</f>
        <v>6196075139.999999</v>
      </c>
      <c r="D6" s="18">
        <f>C6*(1+D5)</f>
        <v>6551744387.002186</v>
      </c>
      <c r="E6" s="18">
        <f>D6*(1+E5)</f>
        <v>6897502470.724792</v>
      </c>
      <c r="F6" s="18">
        <f>E6*(1+F5)</f>
        <v>7229579503.447785</v>
      </c>
      <c r="G6" s="18">
        <f>F6*(1+G5)</f>
        <v>7544179181.971797</v>
      </c>
      <c r="H6" s="18">
        <f>G6*(1+H5)</f>
        <v>7837547562.238233</v>
      </c>
      <c r="I6" s="18">
        <f>H6*(1+I5)</f>
        <v>8106044801.391404</v>
      </c>
      <c r="J6" s="18">
        <f>I6*(1+J5)</f>
        <v>8346218045.096981</v>
      </c>
      <c r="K6" s="18">
        <f>J6*(1+K5)</f>
        <v>8554873496.224405</v>
      </c>
    </row>
    <row r="7" spans="1:11" x14ac:dyDescent="0.25">
      <c r="A7" t="s">
        <v>4</v>
      </c>
      <c r="B7" s="9">
        <f>Assumptions!B7</f>
        <v>0.3083182295361509</v>
      </c>
      <c r="C7" s="9">
        <f>Assumptions!B7</f>
        <v>0.3083182295361509</v>
      </c>
      <c r="D7" s="9">
        <f>Assumptions!B7</f>
        <v>0.3083182295361509</v>
      </c>
      <c r="E7" s="9">
        <f>Assumptions!B7</f>
        <v>0.3083182295361509</v>
      </c>
      <c r="F7" s="9">
        <f>Assumptions!B7</f>
        <v>0.3083182295361509</v>
      </c>
      <c r="G7" s="9">
        <f>Assumptions!B7</f>
        <v>0.3083182295361509</v>
      </c>
      <c r="H7" s="9">
        <f>Assumptions!B7</f>
        <v>0.3083182295361509</v>
      </c>
      <c r="I7" s="9">
        <f>Assumptions!B7</f>
        <v>0.3083182295361509</v>
      </c>
      <c r="J7" s="9">
        <f>Assumptions!B7</f>
        <v>0.3083182295361509</v>
      </c>
      <c r="K7" s="9">
        <f>Assumptions!B7</f>
        <v>0.3083182295361509</v>
      </c>
    </row>
    <row r="8" spans="1:11" x14ac:dyDescent="0.25">
      <c r="A8" t="s">
        <v>51</v>
      </c>
      <c r="B8" s="18">
        <f>B6*B7</f>
        <v>1798782204.6522083</v>
      </c>
      <c r="C8" s="18">
        <f>C6*C7</f>
        <v>1910362917.237758</v>
      </c>
      <c r="D8" s="18">
        <f>D6*D7</f>
        <v>2020022229.7739282</v>
      </c>
      <c r="E8" s="18">
        <f>E6*E7</f>
        <v>2126625749.9950943</v>
      </c>
      <c r="F8" s="18">
        <f>F6*F7</f>
        <v>2229011152.793866</v>
      </c>
      <c r="G8" s="18">
        <f>G6*G7</f>
        <v>2326007968.6890316</v>
      </c>
      <c r="H8" s="18">
        <f>H6*H7</f>
        <v>2416458788.2946672</v>
      </c>
      <c r="I8" s="18">
        <f>I6*I7</f>
        <v>2499241381.7057176</v>
      </c>
      <c r="J8" s="18">
        <f>J6*J7</f>
        <v>2573291170.9869757</v>
      </c>
      <c r="K8" s="18">
        <f>K6*K7</f>
        <v>2637623450.26165</v>
      </c>
    </row>
    <row r="9" spans="1:11" x14ac:dyDescent="0.25">
      <c r="A9" t="s">
        <v>52</v>
      </c>
      <c r="B9" s="18">
        <f>B8*(1-Assumptions!B8)</f>
        <v>1458751502.8336496</v>
      </c>
      <c r="C9" s="18">
        <f>C8*(1-Assumptions!B8)</f>
        <v>1549239685.199725</v>
      </c>
      <c r="D9" s="18">
        <f>D8*(1-Assumptions!B8)</f>
        <v>1638169677.1398954</v>
      </c>
      <c r="E9" s="18">
        <f>E8*(1-Assumptions!B8)</f>
        <v>1724621524.9110105</v>
      </c>
      <c r="F9" s="18">
        <f>F8*(1-Assumptions!B8)</f>
        <v>1807652622.180407</v>
      </c>
      <c r="G9" s="18">
        <f>G8*(1-Assumptions!B8)</f>
        <v>1886313757.8038325</v>
      </c>
      <c r="H9" s="18">
        <f>H8*(1-Assumptions!B8)</f>
        <v>1959666311.9324007</v>
      </c>
      <c r="I9" s="18">
        <f>I8*(1-Assumptions!B8)</f>
        <v>2026800194.0858464</v>
      </c>
      <c r="J9" s="18">
        <f>J8*(1-Assumptions!B8)</f>
        <v>2086852067.58069</v>
      </c>
      <c r="K9" s="18">
        <f>K8*(1-Assumptions!B8)</f>
        <v>2139023369.2702074</v>
      </c>
    </row>
    <row r="10" spans="1:11" x14ac:dyDescent="0.25">
      <c r="A10" t="s">
        <v>53</v>
      </c>
      <c r="B10" s="18">
        <f>B6*Assumptions!B9</f>
        <v>265362131.03592023</v>
      </c>
      <c r="C10" s="18">
        <f>C6*Assumptions!B9</f>
        <v>281822876.3099335</v>
      </c>
      <c r="D10" s="18">
        <f>D6*Assumptions!B9</f>
        <v>298000170.4744366</v>
      </c>
      <c r="E10" s="18">
        <f>E6*Assumptions!B9</f>
        <v>313726664.3371491</v>
      </c>
      <c r="F10" s="18">
        <f>F6*Assumptions!B9</f>
        <v>328830887.9632141</v>
      </c>
      <c r="G10" s="18">
        <f>G6*Assumptions!B9</f>
        <v>343140169.93357724</v>
      </c>
      <c r="H10" s="18">
        <f>H6*Assumptions!B9</f>
        <v>356483765.4964085</v>
      </c>
      <c r="I10" s="18">
        <f>I6*Assumptions!B9</f>
        <v>368696119.6899412</v>
      </c>
      <c r="J10" s="18">
        <f>J6*Assumptions!B9</f>
        <v>379620182.55625963</v>
      </c>
      <c r="K10" s="18">
        <f>K6*Assumptions!B9</f>
        <v>389110687.12016606</v>
      </c>
    </row>
    <row r="11" spans="1:11" x14ac:dyDescent="0.25">
      <c r="A11" t="s">
        <v>54</v>
      </c>
      <c r="B11" s="18">
        <f>-B6*B19</f>
        <v>-156268676.36081988</v>
      </c>
      <c r="C11" s="18">
        <f>-C6*C19</f>
        <v>-182612804.80635068</v>
      </c>
      <c r="D11" s="18">
        <f>-D6*D19</f>
        <v>-210701577.66127178</v>
      </c>
      <c r="E11" s="18">
        <f>-E6*E19</f>
        <v>-240356542.72744897</v>
      </c>
      <c r="F11" s="18">
        <f>-F6*F19</f>
        <v>-271356298.1787664</v>
      </c>
      <c r="G11" s="18">
        <f>-G6*G19</f>
        <v>-303437856.7495712</v>
      </c>
      <c r="H11" s="18">
        <f>-H6*H19</f>
        <v>-336299241.8376354</v>
      </c>
      <c r="I11" s="18">
        <f>-I6*I19</f>
        <v>-369603327.8104757</v>
      </c>
      <c r="J11" s="18">
        <f>-J6*J19</f>
        <v>-402982892.3543309</v>
      </c>
      <c r="K11" s="18">
        <f>-K6*K19</f>
        <v>-436046802.3084476</v>
      </c>
    </row>
    <row r="12" spans="1:11" x14ac:dyDescent="0.25">
      <c r="A12" t="s">
        <v>55</v>
      </c>
      <c r="B12" s="18">
        <f>-(B6-Assumptions!B29)*Assumptions!B11</f>
        <v>-55324670.51513699</v>
      </c>
      <c r="C12" s="18">
        <f>-(C6-B6)*Assumptions!B11</f>
        <v>-110783750.4765867</v>
      </c>
      <c r="D12" s="18">
        <f>-(D6-C6)*Assumptions!B11</f>
        <v>-108876073.97315003</v>
      </c>
      <c r="E12" s="18">
        <f>-(E6-D6)*Assumptions!B11</f>
        <v>-105842107.56901781</v>
      </c>
      <c r="F12" s="18">
        <f>-(F6-E6)*Assumptions!B11</f>
        <v>-101654117.93196319</v>
      </c>
      <c r="G12" s="18">
        <f>-(G6-F6)*Assumptions!B11</f>
        <v>-96304018.85912535</v>
      </c>
      <c r="H12" s="18">
        <f>-(H6-G6)*Assumptions!B11</f>
        <v>-89804777.16442904</v>
      </c>
      <c r="I12" s="18">
        <f>-(I6-H6)*Assumptions!B11</f>
        <v>-82191321.06028701</v>
      </c>
      <c r="J12" s="18">
        <f>-(J6-I6)*Assumptions!B11</f>
        <v>-73520890.73897077</v>
      </c>
      <c r="K12" s="18">
        <f>-(K6-J6)*Assumptions!B11</f>
        <v>-63872787.774959795</v>
      </c>
    </row>
    <row r="13" spans="1:11" x14ac:dyDescent="0.25">
      <c r="A13" s="19" t="s">
        <v>56</v>
      </c>
      <c r="B13" s="20">
        <f>B9+B10+B11+B12</f>
        <v>1512520286.993613</v>
      </c>
      <c r="C13" s="20">
        <f>C9+C10+C11+C12</f>
        <v>1537666006.2267208</v>
      </c>
      <c r="D13" s="20">
        <f>D9+D10+D11+D12</f>
        <v>1616592195.9799101</v>
      </c>
      <c r="E13" s="20">
        <f>E9+E10+E11+E12</f>
        <v>1692149538.9516928</v>
      </c>
      <c r="F13" s="20">
        <f>F9+F10+F11+F12</f>
        <v>1763473094.0328915</v>
      </c>
      <c r="G13" s="20">
        <f>G9+G10+G11+G12</f>
        <v>1829712052.128713</v>
      </c>
      <c r="H13" s="20">
        <f>H9+H10+H11+H12</f>
        <v>1890046058.4267447</v>
      </c>
      <c r="I13" s="20">
        <f>I9+I10+I11+I12</f>
        <v>1943701664.905025</v>
      </c>
      <c r="J13" s="20">
        <f>J9+J10+J11+J12</f>
        <v>1989968467.0436478</v>
      </c>
      <c r="K13" s="20">
        <f>K9+K10+K11+K12</f>
        <v>2028214466.3069658</v>
      </c>
    </row>
    <row r="14" spans="1:11" x14ac:dyDescent="0.25">
      <c r="A14" t="s">
        <v>57</v>
      </c>
      <c r="B14" s="21">
        <f>1/(1+Assumptions!$B$26)^(1-0.5*Assumptions!$B$32)</f>
        <v>0.9607165776990959</v>
      </c>
      <c r="C14" s="21">
        <f>1/(1+Assumptions!$B$26)^(2-0.5*Assumptions!$B$32)</f>
        <v>0.8867186732231761</v>
      </c>
      <c r="D14" s="21">
        <f>1/(1+Assumptions!$B$26)^(3-0.5*Assumptions!$B$32)</f>
        <v>0.8184203579850539</v>
      </c>
      <c r="E14" s="21">
        <f>1/(1+Assumptions!$B$26)^(4-0.5*Assumptions!$B$32)</f>
        <v>0.7553826287763314</v>
      </c>
      <c r="F14" s="21">
        <f>1/(1+Assumptions!$B$26)^(5-0.5*Assumptions!$B$32)</f>
        <v>0.6972002960213038</v>
      </c>
      <c r="G14" s="21">
        <f>1/(1+Assumptions!$B$26)^(6-0.5*Assumptions!$B$32)</f>
        <v>0.6434993793273001</v>
      </c>
      <c r="H14" s="21">
        <f>1/(1+Assumptions!$B$26)^(7-0.5*Assumptions!$B$32)</f>
        <v>0.5939347036392644</v>
      </c>
      <c r="I14" s="21">
        <f>1/(1+Assumptions!$B$26)^(8-0.5*Assumptions!$B$32)</f>
        <v>0.5481876805473016</v>
      </c>
      <c r="J14" s="21">
        <f>1/(1+Assumptions!$B$26)^(9-0.5*Assumptions!$B$32)</f>
        <v>0.5059642604860309</v>
      </c>
      <c r="K14" s="21">
        <f>1/(1+Assumptions!$B$26)^(10-0.5*Assumptions!$B$32)</f>
        <v>0.466993042663035</v>
      </c>
    </row>
    <row r="15" spans="1:11" x14ac:dyDescent="0.25">
      <c r="A15" s="19" t="s">
        <v>58</v>
      </c>
      <c r="B15" s="20">
        <f>B13*B14</f>
        <v>1453103313.8209581</v>
      </c>
      <c r="C15" s="20">
        <f>C13*C14</f>
        <v>1363477160.901738</v>
      </c>
      <c r="D15" s="20">
        <f>D13*D14</f>
        <v>1323051963.7497225</v>
      </c>
      <c r="E15" s="20">
        <f>E13*E14</f>
        <v>1278220367.015987</v>
      </c>
      <c r="F15" s="20">
        <f>F13*F14</f>
        <v>1229493963.1853366</v>
      </c>
      <c r="G15" s="20">
        <f>G13*G14</f>
        <v>1177418569.8925073</v>
      </c>
      <c r="H15" s="20">
        <f>H13*H14</f>
        <v>1122563945.5762484</v>
      </c>
      <c r="I15" s="20">
        <f>I13*I14</f>
        <v>1065513307.3602141</v>
      </c>
      <c r="J15" s="20">
        <f>J13*J14</f>
        <v>1006852923.8182598</v>
      </c>
      <c r="K15" s="20">
        <f>K13*K14</f>
        <v>947162044.7938737</v>
      </c>
    </row>
    <row r="17" spans="1:2" x14ac:dyDescent="0.25">
      <c r="A17" s="22" t="s">
        <v>59</v>
      </c>
      <c r="B17" s="23">
        <f>SUM(B15:K15)</f>
        <v>11966857560.114845</v>
      </c>
    </row>
    <row r="19" spans="1:11" x14ac:dyDescent="0.25">
      <c r="A19" t="s">
        <v>7</v>
      </c>
      <c r="B19" s="9">
        <f>Assumptions!$B$10+($B$20-Assumptions!$B$10)*0/9</f>
        <v>0.026785055746557915</v>
      </c>
      <c r="C19" s="9">
        <f>Assumptions!$B$10+($B$20-Assumptions!$B$10)*1/9</f>
        <v>0.02947233541882946</v>
      </c>
      <c r="D19" s="9">
        <f>Assumptions!$B$10+($B$20-Assumptions!$B$10)*2/9</f>
        <v>0.032159615091101004</v>
      </c>
      <c r="E19" s="9">
        <f>Assumptions!$B$10+($B$20-Assumptions!$B$10)*3/9</f>
        <v>0.03484689476337255</v>
      </c>
      <c r="F19" s="9">
        <f>Assumptions!$B$10+($B$20-Assumptions!$B$10)*4/9</f>
        <v>0.0375341744356441</v>
      </c>
      <c r="G19" s="9">
        <f>Assumptions!$B$10+($B$20-Assumptions!$B$10)*5/9</f>
        <v>0.040221454107915645</v>
      </c>
      <c r="H19" s="9">
        <f>Assumptions!$B$10+($B$20-Assumptions!$B$10)*6/9</f>
        <v>0.04290873378018719</v>
      </c>
      <c r="I19" s="9">
        <f>Assumptions!$B$10+($B$20-Assumptions!$B$10)*7/9</f>
        <v>0.04559601345245874</v>
      </c>
      <c r="J19" s="9">
        <f>Assumptions!$B$10+($B$20-Assumptions!$B$10)*8/9</f>
        <v>0.04828329312473029</v>
      </c>
      <c r="K19" s="9">
        <f>Assumptions!$B$10+($B$20-Assumptions!$B$10)*9/9</f>
        <v>0.05097057279700183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0.05097057279700183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2028214466.3069658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2333157938.580003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0.12271903206460977</v>
      </c>
    </row>
    <row r="7" spans="1:2" x14ac:dyDescent="0.25">
      <c r="A7" t="s">
        <v>66</v>
      </c>
      <c r="B7" s="18">
        <f>-MAX(B5,0)*B6</f>
        <v>-286322883.8763982</v>
      </c>
    </row>
    <row r="8" spans="1:2" x14ac:dyDescent="0.25">
      <c r="A8" t="s">
        <v>67</v>
      </c>
      <c r="B8" s="18">
        <f>IF(OR(Assumptions!$B$33=0,Assumptions!B12&lt;=0),B5,MAX(B5+B7,0))</f>
        <v>2046835054.7036047</v>
      </c>
    </row>
    <row r="9" spans="1:2" x14ac:dyDescent="0.25">
      <c r="A9" t="s">
        <v>68</v>
      </c>
      <c r="B9" s="18">
        <f>B8*(1+Assumptions!B12)/(Assumptions!B26-Assumptions!B12)</f>
        <v>35893175259.898346</v>
      </c>
    </row>
    <row r="10" spans="1:2" x14ac:dyDescent="0.25">
      <c r="A10" t="s">
        <v>69</v>
      </c>
      <c r="B10" s="18">
        <f>B9/(1+Assumptions!B26)^(10-0.5*Assumptions!B32)</f>
        <v>16761863125.4575</v>
      </c>
    </row>
    <row r="11" spans="1:2" x14ac:dyDescent="0.25">
      <c r="A11" t="s">
        <v>70</v>
      </c>
      <c r="B11" s="18">
        <f>Forecast!B17+B10</f>
        <v>28728720685.572346</v>
      </c>
    </row>
    <row r="12" spans="1:2" x14ac:dyDescent="0.25">
      <c r="A12" t="s">
        <v>71</v>
      </c>
      <c r="B12" s="18">
        <f>-Assumptions!B30</f>
        <v>643315000</v>
      </c>
    </row>
    <row r="13" spans="1:2" x14ac:dyDescent="0.25">
      <c r="A13" t="s">
        <v>72</v>
      </c>
      <c r="B13" s="18">
        <f>B11+B12</f>
        <v>29372035685.572346</v>
      </c>
    </row>
    <row r="14" spans="1:2" x14ac:dyDescent="0.25">
      <c r="A14" s="19" t="s">
        <v>73</v>
      </c>
      <c r="B14" s="24">
        <f>B13/Assumptions!B31</f>
        <v>203.63369851288545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3026734137.381816</v>
      </c>
    </row>
    <row r="18" spans="1:2" x14ac:dyDescent="0.25">
      <c r="A18" t="s">
        <v>68</v>
      </c>
      <c r="B18" s="18">
        <f>B17*Assumptions!B13</f>
        <v>44571698763.10988</v>
      </c>
    </row>
    <row r="19" spans="1:2" x14ac:dyDescent="0.25">
      <c r="A19" t="s">
        <v>69</v>
      </c>
      <c r="B19" s="18">
        <f>B18/(1+Assumptions!B26)^(10-0.5*Assumptions!B32)</f>
        <v>20814673222.044914</v>
      </c>
    </row>
    <row r="20" spans="1:2" x14ac:dyDescent="0.25">
      <c r="A20" t="s">
        <v>70</v>
      </c>
      <c r="B20" s="18">
        <f>Forecast!B17+B19</f>
        <v>32781530782.15976</v>
      </c>
    </row>
    <row r="21" spans="1:2" x14ac:dyDescent="0.25">
      <c r="A21" t="s">
        <v>71</v>
      </c>
      <c r="B21" s="18">
        <f>-Assumptions!B30</f>
        <v>643315000</v>
      </c>
    </row>
    <row r="22" spans="1:2" x14ac:dyDescent="0.25">
      <c r="A22" t="s">
        <v>72</v>
      </c>
      <c r="B22" s="18">
        <f>B20+B21</f>
        <v>33424845782.15976</v>
      </c>
    </row>
    <row r="23" spans="1:2" x14ac:dyDescent="0.25">
      <c r="A23" s="19" t="s">
        <v>73</v>
      </c>
      <c r="B23" s="25">
        <f>B22/Assumptions!B31</f>
        <v>231.73146872442868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229.94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203.63369851288545</v>
      </c>
    </row>
    <row r="29" spans="1:2" x14ac:dyDescent="0.25">
      <c r="A29" s="19" t="s">
        <v>81</v>
      </c>
      <c r="B29" s="11">
        <f>B28/B26-1</f>
        <v>-0.11440506865753919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0.063451</v>
      </c>
      <c r="B5" s="31">
        <v>272.40310706059745</v>
      </c>
      <c r="C5" s="31">
        <v>287.1074770180835</v>
      </c>
      <c r="D5" s="31">
        <v>305.8898400163843</v>
      </c>
      <c r="E5" s="31">
        <v>330.5788378184434</v>
      </c>
      <c r="F5" s="31">
        <v>364.28857966669057</v>
      </c>
    </row>
    <row r="6" spans="1:6" x14ac:dyDescent="0.25">
      <c r="A6" s="30">
        <v>0.073451</v>
      </c>
      <c r="B6" s="31">
        <v>226.04882579717184</v>
      </c>
      <c r="C6" s="31">
        <v>234.18902585068756</v>
      </c>
      <c r="D6" s="31">
        <v>244.19962624662693</v>
      </c>
      <c r="E6" s="31">
        <v>256.7263199526168</v>
      </c>
      <c r="F6" s="31">
        <v>272.7506523029984</v>
      </c>
    </row>
    <row r="7" spans="1:6" x14ac:dyDescent="0.25">
      <c r="A7" s="30">
        <v>0.083451</v>
      </c>
      <c r="B7" s="31">
        <v>193.30286590929202</v>
      </c>
      <c r="C7" s="31">
        <v>197.9931325279232</v>
      </c>
      <c r="D7" s="32">
        <v>203.63500445550872</v>
      </c>
      <c r="E7" s="31">
        <v>210.49553150653884</v>
      </c>
      <c r="F7" s="31">
        <v>218.9519985017947</v>
      </c>
    </row>
    <row r="8" spans="1:6" x14ac:dyDescent="0.25">
      <c r="A8" s="30">
        <v>0.093451</v>
      </c>
      <c r="B8" s="31">
        <v>168.95704265845177</v>
      </c>
      <c r="C8" s="31">
        <v>171.68688805261615</v>
      </c>
      <c r="D8" s="31">
        <v>174.9361006468061</v>
      </c>
      <c r="E8" s="31">
        <v>178.8274603499338</v>
      </c>
      <c r="F8" s="31">
        <v>183.52575829703653</v>
      </c>
    </row>
    <row r="9" spans="1:6" x14ac:dyDescent="0.25">
      <c r="A9" s="30">
        <v>0.103451</v>
      </c>
      <c r="B9" s="31">
        <v>150.15878904427643</v>
      </c>
      <c r="C9" s="31">
        <v>151.71277086513538</v>
      </c>
      <c r="D9" s="31">
        <v>153.5644831543618</v>
      </c>
      <c r="E9" s="31">
        <v>155.7747277666006</v>
      </c>
      <c r="F9" s="31">
        <v>158.4220716306794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5653443000</v>
      </c>
      <c r="C5" s="18">
        <v>5146327000</v>
      </c>
      <c r="D5" s="18">
        <v>4685297000</v>
      </c>
      <c r="E5" s="18">
        <v>4222993000</v>
      </c>
      <c r="F5" s="6" t="s">
        <v>91</v>
      </c>
    </row>
    <row r="6" spans="1:6" x14ac:dyDescent="0.25">
      <c r="A6" t="s">
        <v>51</v>
      </c>
      <c r="B6" s="18">
        <v>1908460000</v>
      </c>
      <c r="C6" s="18">
        <v>1685363000</v>
      </c>
      <c r="D6" s="18">
        <v>1384121000</v>
      </c>
      <c r="E6" s="18">
        <v>1151997000</v>
      </c>
      <c r="F6" s="6" t="s">
        <v>92</v>
      </c>
    </row>
    <row r="7" spans="1:6" x14ac:dyDescent="0.25">
      <c r="A7" t="s">
        <v>93</v>
      </c>
      <c r="B7" s="18">
        <v>244152000</v>
      </c>
      <c r="C7" s="18">
        <v>235811000</v>
      </c>
      <c r="D7" s="18">
        <v>216209000</v>
      </c>
      <c r="E7" s="18">
        <v>197562000</v>
      </c>
      <c r="F7" s="6" t="s">
        <v>94</v>
      </c>
    </row>
    <row r="8" spans="1:6" x14ac:dyDescent="0.25">
      <c r="A8" t="s">
        <v>95</v>
      </c>
      <c r="B8" s="18">
        <v>177173000</v>
      </c>
      <c r="C8" s="18">
        <v>100642000</v>
      </c>
      <c r="D8" s="18">
        <v>114856000</v>
      </c>
      <c r="E8" s="18">
        <v>134000000</v>
      </c>
      <c r="F8" s="6" t="s">
        <v>96</v>
      </c>
    </row>
    <row r="9" spans="1:6" x14ac:dyDescent="0.25">
      <c r="A9" t="s">
        <v>97</v>
      </c>
      <c r="B9" s="18">
        <v>74243000</v>
      </c>
      <c r="C9" s="18">
        <v>-16738000</v>
      </c>
      <c r="D9" s="18">
        <v>-44784000</v>
      </c>
      <c r="E9" s="18">
        <v>462127000</v>
      </c>
      <c r="F9" s="6" t="s">
        <v>98</v>
      </c>
    </row>
    <row r="10" spans="1:6" x14ac:dyDescent="0.25">
      <c r="A10" t="s">
        <v>99</v>
      </c>
      <c r="B10" s="18">
        <v>825919000</v>
      </c>
      <c r="C10" s="18">
        <v>851813000</v>
      </c>
      <c r="D10" s="18">
        <v>873935000</v>
      </c>
      <c r="E10" s="18">
        <v>1579908000</v>
      </c>
      <c r="F10" s="6" t="s">
        <v>100</v>
      </c>
    </row>
    <row r="11" spans="1:6" x14ac:dyDescent="0.25">
      <c r="A11" t="s">
        <v>101</v>
      </c>
      <c r="B11" s="18">
        <v>1469234000</v>
      </c>
      <c r="C11" s="18">
        <v>1209450000</v>
      </c>
      <c r="D11" s="18">
        <v>238361000</v>
      </c>
      <c r="E11" s="18">
        <v>227891000</v>
      </c>
      <c r="F11" s="6" t="s">
        <v>102</v>
      </c>
    </row>
    <row r="12" spans="1:6" x14ac:dyDescent="0.25">
      <c r="A12" t="s">
        <v>34</v>
      </c>
      <c r="B12" s="34">
        <v>144239563</v>
      </c>
      <c r="C12" s="34">
        <v>146385350</v>
      </c>
      <c r="D12" s="34">
        <v>147550000</v>
      </c>
      <c r="E12" s="34">
        <v>147455000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