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<sst xmlns="http://schemas.openxmlformats.org/spreadsheetml/2006/main" count="111" uniqueCount="99">
  <si>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ResMed Inc. (RMD)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</si>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</sst>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0.10212508025534905</v>
      </c>
    </row>
    <row r="7" spans="1:2" x14ac:dyDescent="0.25">
      <c r="A7" t="s">
        <v>5</v>
      </c>
      <c r="B7" s="6">
        <v>0.3083182295361509</v>
      </c>
    </row>
    <row r="8" spans="1:2" x14ac:dyDescent="0.25">
      <c r="A8" t="s">
        <v>6</v>
      </c>
      <c r="B8" s="6">
        <v>0.18903383685870026</v>
      </c>
    </row>
    <row r="9" spans="1:2" x14ac:dyDescent="0.25">
      <c r="A9" t="s">
        <v>7</v>
      </c>
      <c r="B9" s="6">
        <v>0.04548409597078152</v>
      </c>
    </row>
    <row r="10" spans="1:2" x14ac:dyDescent="0.25">
      <c r="A10" t="s">
        <v>8</v>
      </c>
      <c r="B10" s="6">
        <v>0.026785055746557915</v>
      </c>
    </row>
    <row r="11" spans="1:2" x14ac:dyDescent="0.25">
      <c r="A11" t="s">
        <v>9</v>
      </c>
      <c r="B11" s="6">
        <v>-0.03630566340585211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14.778330091999859</v>
      </c>
    </row>
    <row r="14" spans="1:3" x14ac:dyDescent="0.25">
      <c r="A14" t="s">
        <v>12</v>
      </c>
      <c r="B14" s="6">
        <v>0.2037173825396363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0.84322</v>
      </c>
      <c r="C19" s="8" t="s">
        <v>19</v>
      </c>
    </row>
    <row r="20" spans="1:2" x14ac:dyDescent="0.25">
      <c r="A20" t="s">
        <v>20</v>
      </c>
      <c r="B20" s="10">
        <f>B17+B19*B18</f>
        <v>0.0963571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32455325696</v>
      </c>
    </row>
    <row r="23" spans="1:2" x14ac:dyDescent="0.25">
      <c r="A23" t="s">
        <v>24</v>
      </c>
      <c r="B23" s="11">
        <v>825919000</v>
      </c>
    </row>
    <row r="24" spans="1:2" x14ac:dyDescent="0.25">
      <c r="A24" t="s">
        <v>25</v>
      </c>
      <c r="B24" s="10">
        <f>B22/(B22+B23)</f>
        <v>0.9751836505051368</v>
      </c>
    </row>
    <row r="25" spans="1:2" x14ac:dyDescent="0.25">
      <c r="A25" t="s">
        <v>26</v>
      </c>
      <c r="B25" s="10">
        <f>1-B24</f>
        <v>0.02481634949486322</v>
      </c>
    </row>
    <row r="26" spans="1:2" x14ac:dyDescent="0.25">
      <c r="A26" t="s">
        <v>27</v>
      </c>
      <c r="B26" s="12">
        <f>B24*B20+B25*B21*(1-B8)</f>
        <v>0.09537423140700546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5653443000</v>
      </c>
      <c r="C29" s="8" t="s">
        <v>30</v>
      </c>
    </row>
    <row r="30" spans="1:2" x14ac:dyDescent="0.25">
      <c r="A30" t="s">
        <v>31</v>
      </c>
      <c r="B30" s="11">
        <v>-643315000</v>
      </c>
    </row>
    <row r="31" spans="1:2" x14ac:dyDescent="0.25">
      <c r="A31" t="s">
        <v>32</v>
      </c>
      <c r="B31" s="13">
        <v>144239563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0.10212508025534905</v>
      </c>
      <c r="C5" s="10">
        <f>Assumptions!B6</f>
        <v>0.10212508025534905</v>
      </c>
      <c r="D5" s="10">
        <f>Assumptions!B6</f>
        <v>0.10212508025534905</v>
      </c>
      <c r="E5" s="10">
        <f>Assumptions!B6</f>
        <v>0.10212508025534905</v>
      </c>
      <c r="F5" s="10">
        <f>Assumptions!B6</f>
        <v>0.10212508025534905</v>
      </c>
    </row>
    <row r="6" spans="1:6" x14ac:dyDescent="0.25">
      <c r="A6" t="s">
        <v>43</v>
      </c>
      <c r="B6" s="18">
        <f>Assumptions!B29*(1+B5)</f>
        <v>6230801320.094041</v>
      </c>
      <c r="C6" s="18">
        <f>B6*(1+C5)</f>
        <v>6867122404.963779</v>
      </c>
      <c r="D6" s="18">
        <f>C6*(1+D5)</f>
        <v>7568427831.694011</v>
      </c>
      <c r="E6" s="18">
        <f>D6*(1+E5)</f>
        <v>8341354131.412579</v>
      </c>
      <c r="F6" s="18">
        <f>E6*(1+F5)</f>
        <v>9193215591.521376</v>
      </c>
    </row>
    <row r="7" spans="1:6" x14ac:dyDescent="0.25">
      <c r="A7" t="s">
        <v>5</v>
      </c>
      <c r="B7" s="10">
        <f>Assumptions!B7</f>
        <v>0.3083182295361509</v>
      </c>
      <c r="C7" s="10">
        <f>Assumptions!B7</f>
        <v>0.3083182295361509</v>
      </c>
      <c r="D7" s="10">
        <f>Assumptions!B7</f>
        <v>0.3083182295361509</v>
      </c>
      <c r="E7" s="10">
        <f>Assumptions!B7</f>
        <v>0.3083182295361509</v>
      </c>
      <c r="F7" s="10">
        <f>Assumptions!B7</f>
        <v>0.3083182295361509</v>
      </c>
    </row>
    <row r="8" spans="1:6" x14ac:dyDescent="0.25">
      <c r="A8" t="s">
        <v>44</v>
      </c>
      <c r="B8" s="18">
        <f>B6*B7</f>
        <v>1921069631.6029065</v>
      </c>
      <c r="C8" s="18">
        <f>C6*C7</f>
        <v>2117259021.9064672</v>
      </c>
      <c r="D8" s="18">
        <f>D6*D7</f>
        <v>2333484269.4400268</v>
      </c>
      <c r="E8" s="18">
        <f>E6*E7</f>
        <v>2571791537.731184</v>
      </c>
      <c r="F8" s="18">
        <f>F6*F7</f>
        <v>2834435954.922009</v>
      </c>
    </row>
    <row r="9" spans="1:6" x14ac:dyDescent="0.25">
      <c r="A9" t="s">
        <v>45</v>
      </c>
      <c r="B9" s="18">
        <f>B8*(1-Assumptions!B8)</f>
        <v>1557922468.2682793</v>
      </c>
      <c r="C9" s="18">
        <f>C8*(1-Assumptions!B8)</f>
        <v>1717025425.3717887</v>
      </c>
      <c r="D9" s="18">
        <f>D8*(1-Assumptions!B8)</f>
        <v>1892376784.7383575</v>
      </c>
      <c r="E9" s="18">
        <f>E8*(1-Assumptions!B8)</f>
        <v>2085635915.7531216</v>
      </c>
      <c r="F9" s="18">
        <f>F8*(1-Assumptions!B8)</f>
        <v>2298631651.032848</v>
      </c>
    </row>
    <row r="10" spans="1:6" x14ac:dyDescent="0.25">
      <c r="A10" t="s">
        <v>46</v>
      </c>
      <c r="B10" s="18">
        <f>B6*Assumptions!B9</f>
        <v>283402365.21802956</v>
      </c>
      <c r="C10" s="18">
        <f>C6*Assumptions!B9</f>
        <v>312344854.5104765</v>
      </c>
      <c r="D10" s="18">
        <f>D6*Assumptions!B9</f>
        <v>344243097.8447043</v>
      </c>
      <c r="E10" s="18">
        <f>E6*Assumptions!B9</f>
        <v>379398951.83944464</v>
      </c>
      <c r="F10" s="18">
        <f>F6*Assumptions!B9</f>
        <v>418145100.24484324</v>
      </c>
    </row>
    <row r="11" spans="1:6" x14ac:dyDescent="0.25">
      <c r="A11" t="s">
        <v>47</v>
      </c>
      <c r="B11" s="18">
        <f>-B6*Assumptions!B10</f>
        <v>-166892360.70444554</v>
      </c>
      <c r="C11" s="18">
        <f>-C6*Assumptions!B10</f>
        <v>-183936256.4353917</v>
      </c>
      <c r="D11" s="18">
        <f>-D6*Assumptions!B10</f>
        <v>-202720761.3857245</v>
      </c>
      <c r="E11" s="18">
        <f>-E6*Assumptions!B10</f>
        <v>-223423635.41166708</v>
      </c>
      <c r="F11" s="18">
        <f>-F6*Assumptions!B10</f>
        <v>-246240792.10902545</v>
      </c>
    </row>
    <row r="12" spans="1:6" x14ac:dyDescent="0.25">
      <c r="A12" t="s">
        <v>48</v>
      </c>
      <c r="B12" s="18">
        <f>-(B6-Assumptions!B29)*Assumptions!B11</f>
        <v>20961376.83390247</v>
      </c>
      <c r="C12" s="18">
        <f>-(C6-B6)*Assumptions!B11</f>
        <v>23102059.125327382</v>
      </c>
      <c r="D12" s="18">
        <f>-(D6-C6)*Assumptions!B11</f>
        <v>25461358.767565258</v>
      </c>
      <c r="E12" s="18">
        <f>-(E6-D6)*Assumptions!B11</f>
        <v>28061602.075113088</v>
      </c>
      <c r="F12" s="18">
        <f>-(F6-E6)*Assumptions!B11</f>
        <v>30927395.439127702</v>
      </c>
    </row>
    <row r="13" spans="1:6" x14ac:dyDescent="0.25">
      <c r="A13" s="19" t="s">
        <v>49</v>
      </c>
      <c r="B13" s="20">
        <f>B9+B10+B11+B12</f>
        <v>1695393849.6157656</v>
      </c>
      <c r="C13" s="20">
        <f>C9+C10+C11+C12</f>
        <v>1868536082.572201</v>
      </c>
      <c r="D13" s="20">
        <f>D9+D10+D11+D12</f>
        <v>2059360479.9649024</v>
      </c>
      <c r="E13" s="20">
        <f>E9+E10+E11+E12</f>
        <v>2269672834.256013</v>
      </c>
      <c r="F13" s="20">
        <f>F9+F10+F11+F12</f>
        <v>2501463354.6077933</v>
      </c>
    </row>
    <row r="14" spans="1:6" x14ac:dyDescent="0.25">
      <c r="A14" t="s">
        <v>50</v>
      </c>
      <c r="B14" s="21">
        <f>1/(1+Assumptions!$B$26)^(1-0.5*Assumptions!$B$32)</f>
        <v>0.9554737059004914</v>
      </c>
      <c r="C14" s="21">
        <f>1/(1+Assumptions!$B$26)^(2-0.5*Assumptions!$B$32)</f>
        <v>0.8722806128761927</v>
      </c>
      <c r="D14" s="21">
        <f>1/(1+Assumptions!$B$26)^(3-0.5*Assumptions!$B$32)</f>
        <v>0.7963311422396259</v>
      </c>
      <c r="E14" s="21">
        <f>1/(1+Assumptions!$B$26)^(4-0.5*Assumptions!$B$32)</f>
        <v>0.7269945918088108</v>
      </c>
      <c r="F14" s="21">
        <f>1/(1+Assumptions!$B$26)^(5-0.5*Assumptions!$B$32)</f>
        <v>0.6636951746390712</v>
      </c>
    </row>
    <row r="15" spans="1:6" x14ac:dyDescent="0.25">
      <c r="A15" s="19" t="s">
        <v>51</v>
      </c>
      <c r="B15" s="20">
        <f>B13*B14</f>
        <v>1619904244.453276</v>
      </c>
      <c r="C15" s="20">
        <f>C13*C14</f>
        <v>1629887799.2873597</v>
      </c>
      <c r="D15" s="20">
        <f>D13*D14</f>
        <v>1639932883.2935948</v>
      </c>
      <c r="E15" s="20">
        <f>E13*E14</f>
        <v>1650039875.6794968</v>
      </c>
      <c r="F15" s="20">
        <f>F13*F14</f>
        <v>1660209157.9896564</v>
      </c>
    </row>
    <row r="17" spans="1:2" x14ac:dyDescent="0.25">
      <c r="A17" s="22" t="s">
        <v>52</v>
      </c>
      <c r="B17" s="23">
        <f>SUM(B15:F15)</f>
        <v>8199973960.703384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2501463354.6077933</v>
      </c>
    </row>
    <row r="5" spans="1:2" x14ac:dyDescent="0.25">
      <c r="A5" t="s">
        <v>56</v>
      </c>
      <c r="B5" s="18">
        <f>IF(Assumptions!$B$33=0,B4,B4-Forecast!F11-Forecast!F10-Forecast!F12)</f>
        <v>2507252029.840292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0.12271903206460977</v>
      </c>
    </row>
    <row r="7" spans="1:2" x14ac:dyDescent="0.25">
      <c r="A7" t="s">
        <v>58</v>
      </c>
      <c r="B7" s="18">
        <f>-MAX(Forecast!F9,0)*B6</f>
        <v>-307687542.2440287</v>
      </c>
    </row>
    <row r="8" spans="1:2" x14ac:dyDescent="0.25">
      <c r="A8" t="s">
        <v>59</v>
      </c>
      <c r="B8" s="18">
        <f>IF(OR(Assumptions!$B$33=0,Assumptions!B12&lt;=0),B5,MAX(B5+B7,0))</f>
        <v>2199564487.5962634</v>
      </c>
    </row>
    <row r="9" spans="1:2" x14ac:dyDescent="0.25">
      <c r="A9" t="s">
        <v>60</v>
      </c>
      <c r="B9" s="18">
        <f>B8*(1+Assumptions!B12)/(Assumptions!B26-Assumptions!B12)</f>
        <v>32036635494.4196</v>
      </c>
    </row>
    <row r="10" spans="1:2" x14ac:dyDescent="0.25">
      <c r="A10" t="s">
        <v>61</v>
      </c>
      <c r="B10" s="18">
        <f>B9/(1+Assumptions!B26)^(5-0.5*Assumptions!B32)</f>
        <v>21262560389.317085</v>
      </c>
    </row>
    <row r="11" spans="1:2" x14ac:dyDescent="0.25">
      <c r="A11" t="s">
        <v>62</v>
      </c>
      <c r="B11" s="18">
        <f>Forecast!B17+B10</f>
        <v>29462534350.02047</v>
      </c>
    </row>
    <row r="12" spans="1:2" x14ac:dyDescent="0.25">
      <c r="A12" t="s">
        <v>63</v>
      </c>
      <c r="B12" s="18">
        <f>-Assumptions!B30</f>
        <v>643315000</v>
      </c>
    </row>
    <row r="13" spans="1:2" x14ac:dyDescent="0.25">
      <c r="A13" t="s">
        <v>64</v>
      </c>
      <c r="B13" s="18">
        <f>B11+B12</f>
        <v>30105849350.02047</v>
      </c>
    </row>
    <row r="14" spans="1:2" x14ac:dyDescent="0.25">
      <c r="A14" s="19" t="s">
        <v>65</v>
      </c>
      <c r="B14" s="24">
        <f>B13/Assumptions!B31</f>
        <v>208.72116306966674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3252581055.166852</v>
      </c>
    </row>
    <row r="18" spans="1:2" x14ac:dyDescent="0.25">
      <c r="A18" t="s">
        <v>60</v>
      </c>
      <c r="B18" s="18">
        <f>B17*Assumptions!B13</f>
        <v>48067716484.240944</v>
      </c>
    </row>
    <row r="19" spans="1:2" x14ac:dyDescent="0.25">
      <c r="A19" t="s">
        <v>61</v>
      </c>
      <c r="B19" s="18">
        <f>B18/(1+Assumptions!B26)^(5-0.5*Assumptions!B32)</f>
        <v>31902311486.509655</v>
      </c>
    </row>
    <row r="20" spans="1:2" x14ac:dyDescent="0.25">
      <c r="A20" t="s">
        <v>62</v>
      </c>
      <c r="B20" s="18">
        <f>Forecast!B17+B19</f>
        <v>40102285447.21304</v>
      </c>
    </row>
    <row r="21" spans="1:2" x14ac:dyDescent="0.25">
      <c r="A21" t="s">
        <v>63</v>
      </c>
      <c r="B21" s="18">
        <f>-Assumptions!B30</f>
        <v>643315000</v>
      </c>
    </row>
    <row r="22" spans="1:2" x14ac:dyDescent="0.25">
      <c r="A22" t="s">
        <v>64</v>
      </c>
      <c r="B22" s="18">
        <f>B20+B21</f>
        <v>40745600447.21304</v>
      </c>
    </row>
    <row r="23" spans="1:2" x14ac:dyDescent="0.25">
      <c r="A23" s="19" t="s">
        <v>65</v>
      </c>
      <c r="B23" s="25">
        <f>B22/Assumptions!B31</f>
        <v>282.4856065822457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224.99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208.72116306966674</v>
      </c>
    </row>
    <row r="29" spans="1:2" x14ac:dyDescent="0.25">
      <c r="A29" s="19" t="s">
        <v>73</v>
      </c>
      <c r="B29" s="12">
        <f>B28/B26-1</f>
        <v>-0.07230915565284357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0.075374</v>
      </c>
      <c r="B5" s="31">
        <v>259.2307983384784</v>
      </c>
      <c r="C5" s="31">
        <v>272.2387581422619</v>
      </c>
      <c r="D5" s="31">
        <v>287.7679240201476</v>
      </c>
      <c r="E5" s="31">
        <v>306.65177089415107</v>
      </c>
      <c r="F5" s="31">
        <v>330.13665074677994</v>
      </c>
    </row>
    <row r="6" spans="1:6" x14ac:dyDescent="0.25">
      <c r="A6" s="30">
        <v>0.085374</v>
      </c>
      <c r="B6" s="31">
        <v>223.2760828436257</v>
      </c>
      <c r="C6" s="31">
        <v>231.8097842254515</v>
      </c>
      <c r="D6" s="31">
        <v>241.7080822370628</v>
      </c>
      <c r="E6" s="31">
        <v>253.34062598177144</v>
      </c>
      <c r="F6" s="31">
        <v>267.22382642548155</v>
      </c>
    </row>
    <row r="7" spans="1:6" x14ac:dyDescent="0.25">
      <c r="A7" s="30">
        <v>0.095374</v>
      </c>
      <c r="B7" s="31">
        <v>196.2734520992102</v>
      </c>
      <c r="C7" s="31">
        <v>202.10353184591546</v>
      </c>
      <c r="D7" s="32">
        <v>208.72181810630843</v>
      </c>
      <c r="E7" s="31">
        <v>216.3091640896974</v>
      </c>
      <c r="F7" s="31">
        <v>225.10633396352088</v>
      </c>
    </row>
    <row r="8" spans="1:6" x14ac:dyDescent="0.25">
      <c r="A8" s="30">
        <v>0.105374</v>
      </c>
      <c r="B8" s="31">
        <v>175.25122471949507</v>
      </c>
      <c r="C8" s="31">
        <v>179.3525962487929</v>
      </c>
      <c r="D8" s="31">
        <v>183.93043560134214</v>
      </c>
      <c r="E8" s="31">
        <v>189.07956350244297</v>
      </c>
      <c r="F8" s="31">
        <v>194.92174833570684</v>
      </c>
    </row>
    <row r="9" spans="1:6" x14ac:dyDescent="0.25">
      <c r="A9" s="30">
        <v>0.115374</v>
      </c>
      <c r="B9" s="31">
        <v>158.4219503871567</v>
      </c>
      <c r="C9" s="31">
        <v>161.36958558571988</v>
      </c>
      <c r="D9" s="31">
        <v>164.61449893608656</v>
      </c>
      <c r="E9" s="31">
        <v>168.20892147202633</v>
      </c>
      <c r="F9" s="31">
        <v>172.2180812247881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5653443000</v>
      </c>
      <c r="C5" s="18">
        <v>5146327000</v>
      </c>
      <c r="D5" s="18">
        <v>4685297000</v>
      </c>
      <c r="E5" s="18">
        <v>4222993000</v>
      </c>
      <c r="F5" s="8" t="s">
        <v>84</v>
      </c>
    </row>
    <row r="6" spans="1:6" x14ac:dyDescent="0.25">
      <c r="A6" t="s">
        <v>44</v>
      </c>
      <c r="B6" s="18">
        <v>1908460000</v>
      </c>
      <c r="C6" s="18">
        <v>1685363000</v>
      </c>
      <c r="D6" s="18">
        <v>1384121000</v>
      </c>
      <c r="E6" s="18">
        <v>1151997000</v>
      </c>
      <c r="F6" s="8" t="s">
        <v>85</v>
      </c>
    </row>
    <row r="7" spans="1:6" x14ac:dyDescent="0.25">
      <c r="A7" t="s">
        <v>86</v>
      </c>
      <c r="B7" s="18">
        <v>244152000</v>
      </c>
      <c r="C7" s="18">
        <v>235811000</v>
      </c>
      <c r="D7" s="18">
        <v>216209000</v>
      </c>
      <c r="E7" s="18">
        <v>197562000</v>
      </c>
      <c r="F7" s="8" t="s">
        <v>87</v>
      </c>
    </row>
    <row r="8" spans="1:6" x14ac:dyDescent="0.25">
      <c r="A8" t="s">
        <v>88</v>
      </c>
      <c r="B8" s="18">
        <v>177173000</v>
      </c>
      <c r="C8" s="18">
        <v>100642000</v>
      </c>
      <c r="D8" s="18">
        <v>114856000</v>
      </c>
      <c r="E8" s="18">
        <v>134000000</v>
      </c>
      <c r="F8" s="8" t="s">
        <v>89</v>
      </c>
    </row>
    <row r="9" spans="1:6" x14ac:dyDescent="0.25">
      <c r="A9" t="s">
        <v>90</v>
      </c>
      <c r="B9" s="18">
        <v>74243000</v>
      </c>
      <c r="C9" s="18">
        <v>-16738000</v>
      </c>
      <c r="D9" s="18">
        <v>-44784000</v>
      </c>
      <c r="E9" s="18">
        <v>462127000</v>
      </c>
      <c r="F9" s="8" t="s">
        <v>91</v>
      </c>
    </row>
    <row r="10" spans="1:6" x14ac:dyDescent="0.25">
      <c r="A10" t="s">
        <v>92</v>
      </c>
      <c r="B10" s="18">
        <v>825919000</v>
      </c>
      <c r="C10" s="18">
        <v>851813000</v>
      </c>
      <c r="D10" s="18">
        <v>873935000</v>
      </c>
      <c r="E10" s="18">
        <v>1579908000</v>
      </c>
      <c r="F10" s="8" t="s">
        <v>93</v>
      </c>
    </row>
    <row r="11" spans="1:6" x14ac:dyDescent="0.25">
      <c r="A11" t="s">
        <v>94</v>
      </c>
      <c r="B11" s="18">
        <v>1469234000</v>
      </c>
      <c r="C11" s="18">
        <v>1209450000</v>
      </c>
      <c r="D11" s="18">
        <v>238361000</v>
      </c>
      <c r="E11" s="18">
        <v>227891000</v>
      </c>
      <c r="F11" s="8" t="s">
        <v>95</v>
      </c>
    </row>
    <row r="12" spans="1:6" x14ac:dyDescent="0.25">
      <c r="A12" t="s">
        <v>32</v>
      </c>
      <c r="B12" s="34">
        <v>144239563</v>
      </c>
      <c r="C12" s="34">
        <v>146385350</v>
      </c>
      <c r="D12" s="34">
        <v>147550000</v>
      </c>
      <c r="E12" s="34">
        <v>147455000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2026-09-19T00:06:45Z</dcterms:modified>
</cp:coreProperties>
</file>