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<sst xmlns="http://schemas.openxmlformats.org/spreadsheetml/2006/main" count="112" uniqueCount="100">
  <si>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Ramelius Resources Limited (RMS.AX)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</si>
  <si>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</si>
  <si>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</si>
  <si>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</si>
  <si>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</si>
  <si>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</si>
  <si>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</si>
  <si>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</si>
  <si>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</si>
  <si>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</si>
  <si>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</si>
  <si>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</si>
  <si>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</si>
  <si>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</si>
  <si>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</si>
  <si>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</si>
  <si>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</si>
  <si>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</si>
  <si>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</si>
  <si>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</si>
  <si>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</si>
  <si>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</si>
  <si>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Implied cost of debt of 21.3% is not a credible funding cost, so risk-free + 2bp is assumed instead. Interest expense and reported debt are measuring different things - common for banks, whose interest expense includes deposits that total debt excludes.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</si>
  <si>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</si>
  <si>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</si>
  <si>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</si>
  <si>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</si>
  <si>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</si>
  <si>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</si>
  <si>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</si>
  <si>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2024-06-30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</si>
  <si>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</si>
  <si>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</si>
  <si>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</si>
  <si>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</si>
  <si>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</si>
  <si>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</si>
  <si>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</si>
  <si>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FY25</t>
  </si>
  <si>
    <t>FY26</t>
  </si>
  <si>
    <t>FY27</t>
  </si>
  <si>
    <t>FY28</t>
  </si>
  <si>
    <t>FY29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</si>
  <si>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</si>
  <si>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</si>
  <si>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</si>
  <si>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</si>
  <si>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</si>
  <si>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</si>
  <si>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</si>
  <si>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</si>
  <si>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</si>
  <si>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</si>
  <si>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</si>
  <si>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</si>
  <si>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</si>
  <si>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</si>
  <si>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</si>
  <si>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</si>
  <si>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</si>
  <si>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</si>
  <si>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</si>
  <si>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</si>
  <si>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</si>
  <si>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</si>
  <si>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</si>
  <si>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</si>
  <si>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</si>
  <si>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</si>
  <si>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</si>
  <si>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</si>
  <si>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</si>
  <si>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</si>
  <si>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</si>
  <si>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</si>
  <si>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</si>
  <si>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</si>
  <si>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</si>
  <si>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</si>
  <si>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2024-06-30</t>
  </si>
  <si>
    <t>2023-06-30</t>
  </si>
  <si>
    <t>2022-06-30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</si>
  <si>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</si>
  <si>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</si>
  <si>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</si>
  <si>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</si>
  <si>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</si>
  <si>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</si>
  <si>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</si>
  <si>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</si>
  <si>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</si>
  <si>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</si>
  <si>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</si>
  <si>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</si>
  <si>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</si>
  <si>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</si>
  <si>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</si>
  <si>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</si>
  <si>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Only 3 year(s) of history available to anchor assumptions on.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</si>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</sst>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0.20920505055702643</v>
      </c>
    </row>
    <row r="7" spans="1:2" x14ac:dyDescent="0.25">
      <c r="A7" t="s">
        <v>5</v>
      </c>
      <c r="B7" s="6">
        <v>0.16210788648834548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0.25682053662132004</v>
      </c>
    </row>
    <row r="10" spans="1:2" x14ac:dyDescent="0.25">
      <c r="A10" t="s">
        <v>8</v>
      </c>
      <c r="B10" s="6">
        <v>0.22708075118258872</v>
      </c>
    </row>
    <row r="11" spans="1:2" x14ac:dyDescent="0.25">
      <c r="A11" t="s">
        <v>9</v>
      </c>
      <c r="B11" s="6">
        <v>-0.0513295942581537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14.047637089325622</v>
      </c>
    </row>
    <row r="14" spans="1:3" x14ac:dyDescent="0.25">
      <c r="A14" t="s">
        <v>12</v>
      </c>
      <c r="B14" s="6">
        <v>0.12474302911866608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1.18961</v>
      </c>
      <c r="C19" s="8" t="s">
        <v>19</v>
      </c>
    </row>
    <row r="20" spans="1:2" x14ac:dyDescent="0.25">
      <c r="A20" t="s">
        <v>20</v>
      </c>
      <c r="B20" s="10">
        <f>B17+B19*B18</f>
        <v>0.1248566</v>
      </c>
    </row>
    <row r="21" spans="1:3" x14ac:dyDescent="0.25">
      <c r="A21" t="s">
        <v>21</v>
      </c>
      <c r="B21" s="6">
        <v>0.07348</v>
      </c>
      <c r="C21" s="8" t="s">
        <v>22</v>
      </c>
    </row>
    <row r="22" spans="1:2" x14ac:dyDescent="0.25">
      <c r="A22" t="s">
        <v>23</v>
      </c>
      <c r="B22" s="11">
        <v>6756174336</v>
      </c>
    </row>
    <row r="23" spans="1:2" x14ac:dyDescent="0.25">
      <c r="A23" t="s">
        <v>24</v>
      </c>
      <c r="B23" s="11">
        <v>10467000</v>
      </c>
    </row>
    <row r="24" spans="1:2" x14ac:dyDescent="0.25">
      <c r="A24" t="s">
        <v>25</v>
      </c>
      <c r="B24" s="10">
        <f>B22/(B22+B23)</f>
        <v>0.998453146918795</v>
      </c>
    </row>
    <row r="25" spans="1:2" x14ac:dyDescent="0.25">
      <c r="A25" t="s">
        <v>26</v>
      </c>
      <c r="B25" s="10">
        <f>1-B24</f>
        <v>0.0015468530812049464</v>
      </c>
    </row>
    <row r="26" spans="1:2" x14ac:dyDescent="0.25">
      <c r="A26" t="s">
        <v>27</v>
      </c>
      <c r="B26" s="12">
        <f>B24*B20+B25*B21*(1-B8)</f>
        <v>0.12474302911866608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882510000</v>
      </c>
      <c r="C29" s="8" t="s">
        <v>30</v>
      </c>
    </row>
    <row r="30" spans="1:2" x14ac:dyDescent="0.25">
      <c r="A30" t="s">
        <v>31</v>
      </c>
      <c r="B30" s="11">
        <v>-413905000</v>
      </c>
    </row>
    <row r="31" spans="1:2" x14ac:dyDescent="0.25">
      <c r="A31" t="s">
        <v>32</v>
      </c>
      <c r="B31" s="13">
        <v>1129796557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0.20920505055702643</v>
      </c>
      <c r="C5" s="10">
        <f>Assumptions!B6</f>
        <v>0.20920505055702643</v>
      </c>
      <c r="D5" s="10">
        <f>Assumptions!B6</f>
        <v>0.20920505055702643</v>
      </c>
      <c r="E5" s="10">
        <f>Assumptions!B6</f>
        <v>0.20920505055702643</v>
      </c>
      <c r="F5" s="10">
        <f>Assumptions!B6</f>
        <v>0.20920505055702643</v>
      </c>
    </row>
    <row r="6" spans="1:6" x14ac:dyDescent="0.25">
      <c r="A6" t="s">
        <v>43</v>
      </c>
      <c r="B6" s="18">
        <f>Assumptions!B29*(1+B5)</f>
        <v>1067135549.1670814</v>
      </c>
      <c r="C6" s="18">
        <f>B6*(1+C5)</f>
        <v>1290385695.6817808</v>
      </c>
      <c r="D6" s="18">
        <f>C6*(1+D5)</f>
        <v>1560340900.3849516</v>
      </c>
      <c r="E6" s="18">
        <f>D6*(1+E5)</f>
        <v>1886772097.3361816</v>
      </c>
      <c r="F6" s="18">
        <f>E6*(1+F5)</f>
        <v>2281494349.3489842</v>
      </c>
    </row>
    <row r="7" spans="1:6" x14ac:dyDescent="0.25">
      <c r="A7" t="s">
        <v>5</v>
      </c>
      <c r="B7" s="10">
        <f>Assumptions!B7</f>
        <v>0.16210788648834548</v>
      </c>
      <c r="C7" s="10">
        <f>Assumptions!B7</f>
        <v>0.16210788648834548</v>
      </c>
      <c r="D7" s="10">
        <f>Assumptions!B7</f>
        <v>0.16210788648834548</v>
      </c>
      <c r="E7" s="10">
        <f>Assumptions!B7</f>
        <v>0.16210788648834548</v>
      </c>
      <c r="F7" s="10">
        <f>Assumptions!B7</f>
        <v>0.16210788648834548</v>
      </c>
    </row>
    <row r="8" spans="1:6" x14ac:dyDescent="0.25">
      <c r="A8" t="s">
        <v>44</v>
      </c>
      <c r="B8" s="18">
        <f>B6*B7</f>
        <v>172991088.47205544</v>
      </c>
      <c r="C8" s="18">
        <f>C6*C7</f>
        <v>209181697.88176686</v>
      </c>
      <c r="D8" s="18">
        <f>D6*D7</f>
        <v>252943565.56272653</v>
      </c>
      <c r="E8" s="18">
        <f>E6*E7</f>
        <v>305860636.9843513</v>
      </c>
      <c r="F8" s="18">
        <f>F6*F7</f>
        <v>369848227.0080668</v>
      </c>
    </row>
    <row r="9" spans="1:6" x14ac:dyDescent="0.25">
      <c r="A9" t="s">
        <v>45</v>
      </c>
      <c r="B9" s="18">
        <f>B8*(1-Assumptions!B8)</f>
        <v>121093761.9304388</v>
      </c>
      <c r="C9" s="18">
        <f>C8*(1-Assumptions!B8)</f>
        <v>146427188.5172368</v>
      </c>
      <c r="D9" s="18">
        <f>D8*(1-Assumptions!B8)</f>
        <v>177060495.89390856</v>
      </c>
      <c r="E9" s="18">
        <f>E8*(1-Assumptions!B8)</f>
        <v>214102445.8890459</v>
      </c>
      <c r="F9" s="18">
        <f>F8*(1-Assumptions!B8)</f>
        <v>258893758.9056467</v>
      </c>
    </row>
    <row r="10" spans="1:6" x14ac:dyDescent="0.25">
      <c r="A10" t="s">
        <v>46</v>
      </c>
      <c r="B10" s="18">
        <f>B6*Assumptions!B9</f>
        <v>274062324.3847769</v>
      </c>
      <c r="C10" s="18">
        <f>C6*Assumptions!B9</f>
        <v>331397546.8134703</v>
      </c>
      <c r="D10" s="18">
        <f>D6*Assumptions!B9</f>
        <v>400727587.34905696</v>
      </c>
      <c r="E10" s="18">
        <f>E6*Assumptions!B9</f>
        <v>484561822.52001166</v>
      </c>
      <c r="F10" s="18">
        <f>F6*Assumptions!B9</f>
        <v>585934603.0983156</v>
      </c>
    </row>
    <row r="11" spans="1:6" x14ac:dyDescent="0.25">
      <c r="A11" t="s">
        <v>47</v>
      </c>
      <c r="B11" s="18">
        <f>-B6*Assumptions!B10</f>
        <v>-242325942.11850518</v>
      </c>
      <c r="C11" s="18">
        <f>-C6*Assumptions!B10</f>
        <v>-293021753.09068614</v>
      </c>
      <c r="D11" s="18">
        <f>-D6*Assumptions!B10</f>
        <v>-354323383.76033163</v>
      </c>
      <c r="E11" s="18">
        <f>-E6*Assumptions!B10</f>
        <v>-428449625.1734485</v>
      </c>
      <c r="F11" s="18">
        <f>-F6*Assumptions!B10</f>
        <v>-518083450.66899884</v>
      </c>
    </row>
    <row r="12" spans="1:6" x14ac:dyDescent="0.25">
      <c r="A12" t="s">
        <v>48</v>
      </c>
      <c r="B12" s="18">
        <f>-(B6-Assumptions!B29)*Assumptions!B11</f>
        <v>9476754.528435092</v>
      </c>
      <c r="C12" s="18">
        <f>-(C6-B6)*Assumptions!B11</f>
        <v>11459339.438672889</v>
      </c>
      <c r="D12" s="18">
        <f>-(D6-C6)*Assumptions!B11</f>
        <v>13856691.125290582</v>
      </c>
      <c r="E12" s="18">
        <f>-(E6-D6)*Assumptions!B11</f>
        <v>16755580.892710097</v>
      </c>
      <c r="F12" s="18">
        <f>-(F6-E6)*Assumptions!B11</f>
        <v>20260933.04048185</v>
      </c>
    </row>
    <row r="13" spans="1:6" x14ac:dyDescent="0.25">
      <c r="A13" s="19" t="s">
        <v>49</v>
      </c>
      <c r="B13" s="20">
        <f>B9+B10+B11+B12</f>
        <v>162306898.7251456</v>
      </c>
      <c r="C13" s="20">
        <f>C9+C10+C11+C12</f>
        <v>196262321.67869383</v>
      </c>
      <c r="D13" s="20">
        <f>D9+D10+D11+D12</f>
        <v>237321390.6079244</v>
      </c>
      <c r="E13" s="20">
        <f>E9+E10+E11+E12</f>
        <v>286970224.1283192</v>
      </c>
      <c r="F13" s="20">
        <f>F9+F10+F11+F12</f>
        <v>347005844.3754453</v>
      </c>
    </row>
    <row r="14" spans="1:6" x14ac:dyDescent="0.25">
      <c r="A14" t="s">
        <v>50</v>
      </c>
      <c r="B14" s="21">
        <f>1/(1+Assumptions!$B$26)^(1-0.5*Assumptions!$B$32)</f>
        <v>0.9429167375746129</v>
      </c>
      <c r="C14" s="21">
        <f>1/(1+Assumptions!$B$26)^(2-0.5*Assumptions!$B$32)</f>
        <v>0.8383397035262978</v>
      </c>
      <c r="D14" s="21">
        <f>1/(1+Assumptions!$B$26)^(3-0.5*Assumptions!$B$32)</f>
        <v>0.7453611018893886</v>
      </c>
      <c r="E14" s="21">
        <f>1/(1+Assumptions!$B$26)^(4-0.5*Assumptions!$B$32)</f>
        <v>0.6626945734204228</v>
      </c>
      <c r="F14" s="21">
        <f>1/(1+Assumptions!$B$26)^(5-0.5*Assumptions!$B$32)</f>
        <v>0.5891964264403591</v>
      </c>
    </row>
    <row r="15" spans="1:6" x14ac:dyDescent="0.25">
      <c r="A15" s="19" t="s">
        <v>51</v>
      </c>
      <c r="B15" s="20">
        <f>B13*B14</f>
        <v>153041891.4317674</v>
      </c>
      <c r="C15" s="20">
        <f>C13*C14</f>
        <v>164534496.56949908</v>
      </c>
      <c r="D15" s="20">
        <f>D13*D14</f>
        <v>176890133.20544454</v>
      </c>
      <c r="E15" s="20">
        <f>E13*E14</f>
        <v>190173610.2630796</v>
      </c>
      <c r="F15" s="20">
        <f>F13*F14</f>
        <v>204454603.45993176</v>
      </c>
    </row>
    <row r="17" spans="1:2" x14ac:dyDescent="0.25">
      <c r="A17" s="22" t="s">
        <v>52</v>
      </c>
      <c r="B17" s="23">
        <f>SUM(B15:F15)</f>
        <v>889094734.9297224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347005844.3754453</v>
      </c>
    </row>
    <row r="5" spans="1:2" x14ac:dyDescent="0.25">
      <c r="A5" t="s">
        <v>56</v>
      </c>
      <c r="B5" s="18">
        <f>IF(Assumptions!$B$33=0,B4,B4-Forecast!F11-Forecast!F10-Forecast!F12)</f>
        <v>258893758.9056467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0.20041200038695464</v>
      </c>
    </row>
    <row r="7" spans="1:2" x14ac:dyDescent="0.25">
      <c r="A7" t="s">
        <v>58</v>
      </c>
      <c r="B7" s="18">
        <f>-MAX(Forecast!F9,0)*B6</f>
        <v>-51885416.10997861</v>
      </c>
    </row>
    <row r="8" spans="1:2" x14ac:dyDescent="0.25">
      <c r="A8" t="s">
        <v>59</v>
      </c>
      <c r="B8" s="18">
        <f>IF(OR(Assumptions!$B$33=0,Assumptions!B12&lt;=0),B5,MAX(B5+B7,0))</f>
        <v>207008342.7956681</v>
      </c>
    </row>
    <row r="9" spans="1:2" x14ac:dyDescent="0.25">
      <c r="A9" t="s">
        <v>60</v>
      </c>
      <c r="B9" s="18">
        <f>B8*(1+Assumptions!B12)/(Assumptions!B26-Assumptions!B12)</f>
        <v>2127302060.5091226</v>
      </c>
    </row>
    <row r="10" spans="1:2" x14ac:dyDescent="0.25">
      <c r="A10" t="s">
        <v>61</v>
      </c>
      <c r="B10" s="18">
        <f>B9/(1+Assumptions!B26)^(5-0.5*Assumptions!B32)</f>
        <v>1253398772.0111876</v>
      </c>
    </row>
    <row r="11" spans="1:2" x14ac:dyDescent="0.25">
      <c r="A11" t="s">
        <v>62</v>
      </c>
      <c r="B11" s="18">
        <f>Forecast!B17+B10</f>
        <v>2142493506.9409099</v>
      </c>
    </row>
    <row r="12" spans="1:2" x14ac:dyDescent="0.25">
      <c r="A12" t="s">
        <v>63</v>
      </c>
      <c r="B12" s="18">
        <f>-Assumptions!B30</f>
        <v>413905000</v>
      </c>
    </row>
    <row r="13" spans="1:2" x14ac:dyDescent="0.25">
      <c r="A13" t="s">
        <v>64</v>
      </c>
      <c r="B13" s="18">
        <f>B11+B12</f>
        <v>2556398506.94091</v>
      </c>
    </row>
    <row r="14" spans="1:2" x14ac:dyDescent="0.25">
      <c r="A14" s="19" t="s">
        <v>65</v>
      </c>
      <c r="B14" s="24">
        <f>B13/Assumptions!B31</f>
        <v>2.2627069370161923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955782830.1063824</v>
      </c>
    </row>
    <row r="18" spans="1:2" x14ac:dyDescent="0.25">
      <c r="A18" t="s">
        <v>60</v>
      </c>
      <c r="B18" s="18">
        <f>B17*Assumptions!B13</f>
        <v>13426490333.543028</v>
      </c>
    </row>
    <row r="19" spans="1:2" x14ac:dyDescent="0.25">
      <c r="A19" t="s">
        <v>61</v>
      </c>
      <c r="B19" s="18">
        <f>B18/(1+Assumptions!B26)^(5-0.5*Assumptions!B32)</f>
        <v>7910840124.159576</v>
      </c>
    </row>
    <row r="20" spans="1:2" x14ac:dyDescent="0.25">
      <c r="A20" t="s">
        <v>62</v>
      </c>
      <c r="B20" s="18">
        <f>Forecast!B17+B19</f>
        <v>8799934859.089298</v>
      </c>
    </row>
    <row r="21" spans="1:2" x14ac:dyDescent="0.25">
      <c r="A21" t="s">
        <v>63</v>
      </c>
      <c r="B21" s="18">
        <f>-Assumptions!B30</f>
        <v>413905000</v>
      </c>
    </row>
    <row r="22" spans="1:2" x14ac:dyDescent="0.25">
      <c r="A22" t="s">
        <v>64</v>
      </c>
      <c r="B22" s="18">
        <f>B20+B21</f>
        <v>9213839859.089298</v>
      </c>
    </row>
    <row r="23" spans="1:2" x14ac:dyDescent="0.25">
      <c r="A23" s="19" t="s">
        <v>65</v>
      </c>
      <c r="B23" s="25">
        <f>B22/Assumptions!B31</f>
        <v>8.155308849192481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3.58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2.2627069370161923</v>
      </c>
    </row>
    <row r="29" spans="1:2" x14ac:dyDescent="0.25">
      <c r="A29" s="19" t="s">
        <v>73</v>
      </c>
      <c r="B29" s="12">
        <f>B28/B26-1</f>
        <v>-0.3679589561407284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0.104743</v>
      </c>
      <c r="B5" s="31">
        <v>2.6101675634058723</v>
      </c>
      <c r="C5" s="31">
        <v>2.6171545621801946</v>
      </c>
      <c r="D5" s="31">
        <v>2.6241415609545156</v>
      </c>
      <c r="E5" s="31">
        <v>2.6311285597288383</v>
      </c>
      <c r="F5" s="31">
        <v>2.6381155585031597</v>
      </c>
    </row>
    <row r="6" spans="1:6" x14ac:dyDescent="0.25">
      <c r="A6" s="30">
        <v>0.114743</v>
      </c>
      <c r="B6" s="31">
        <v>2.4154720066638378</v>
      </c>
      <c r="C6" s="31">
        <v>2.4215966209852873</v>
      </c>
      <c r="D6" s="31">
        <v>2.4277212353067363</v>
      </c>
      <c r="E6" s="31">
        <v>2.433845849628186</v>
      </c>
      <c r="F6" s="31">
        <v>2.4399704639496353</v>
      </c>
    </row>
    <row r="7" spans="1:6" x14ac:dyDescent="0.25">
      <c r="A7" s="30">
        <v>0.124743</v>
      </c>
      <c r="B7" s="31">
        <v>2.251883939342294</v>
      </c>
      <c r="C7" s="31">
        <v>2.257295659224884</v>
      </c>
      <c r="D7" s="32">
        <v>2.2627073791074745</v>
      </c>
      <c r="E7" s="31">
        <v>2.268119098990064</v>
      </c>
      <c r="F7" s="31">
        <v>2.273530818872654</v>
      </c>
    </row>
    <row r="8" spans="1:6" x14ac:dyDescent="0.25">
      <c r="A8" s="30">
        <v>0.134743</v>
      </c>
      <c r="B8" s="31">
        <v>2.112490144910984</v>
      </c>
      <c r="C8" s="31">
        <v>2.1173045909169814</v>
      </c>
      <c r="D8" s="31">
        <v>2.122119036922979</v>
      </c>
      <c r="E8" s="31">
        <v>2.126933482928977</v>
      </c>
      <c r="F8" s="31">
        <v>2.1317479289349746</v>
      </c>
    </row>
    <row r="9" spans="1:6" x14ac:dyDescent="0.25">
      <c r="A9" s="30">
        <v>0.144743</v>
      </c>
      <c r="B9" s="31">
        <v>1.9922868394843944</v>
      </c>
      <c r="C9" s="31">
        <v>1.9965951578117571</v>
      </c>
      <c r="D9" s="31">
        <v>2.000903476139119</v>
      </c>
      <c r="E9" s="31">
        <v>2.005211794466481</v>
      </c>
      <c r="F9" s="31">
        <v>2.009520112793843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4" width="17" customWidth="1"/>
    <col min="5" max="5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5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33" t="s">
        <v>82</v>
      </c>
    </row>
    <row r="5" spans="1:5" x14ac:dyDescent="0.25">
      <c r="A5" t="s">
        <v>43</v>
      </c>
      <c r="B5" s="18">
        <v>882510000</v>
      </c>
      <c r="C5" s="18">
        <v>631203000</v>
      </c>
      <c r="D5" s="18">
        <v>603559000</v>
      </c>
      <c r="E5" s="8" t="s">
        <v>83</v>
      </c>
    </row>
    <row r="6" spans="1:5" x14ac:dyDescent="0.25">
      <c r="A6" t="s">
        <v>44</v>
      </c>
      <c r="B6" s="18">
        <v>269158000</v>
      </c>
      <c r="C6" s="18">
        <v>91774000</v>
      </c>
      <c r="D6" s="18">
        <v>21690000</v>
      </c>
      <c r="E6" s="8" t="s">
        <v>84</v>
      </c>
    </row>
    <row r="7" spans="1:5" x14ac:dyDescent="0.25">
      <c r="A7" t="s">
        <v>85</v>
      </c>
      <c r="B7" s="18">
        <v>182325000</v>
      </c>
      <c r="C7" s="18">
        <v>164495000</v>
      </c>
      <c r="D7" s="18">
        <v>183034000</v>
      </c>
      <c r="E7" s="8" t="s">
        <v>86</v>
      </c>
    </row>
    <row r="8" spans="1:5" x14ac:dyDescent="0.25">
      <c r="A8" t="s">
        <v>87</v>
      </c>
      <c r="B8" s="18">
        <v>123149000</v>
      </c>
      <c r="C8" s="18">
        <v>189360000</v>
      </c>
      <c r="D8" s="18">
        <v>145880000</v>
      </c>
      <c r="E8" s="8" t="s">
        <v>88</v>
      </c>
    </row>
    <row r="9" spans="1:5" x14ac:dyDescent="0.25">
      <c r="A9" t="s">
        <v>89</v>
      </c>
      <c r="B9" s="18">
        <v>-11590000</v>
      </c>
      <c r="C9" s="18">
        <v>-1563000</v>
      </c>
      <c r="D9" s="18">
        <v>0</v>
      </c>
      <c r="E9" s="8" t="s">
        <v>90</v>
      </c>
    </row>
    <row r="10" spans="1:5" x14ac:dyDescent="0.25">
      <c r="A10" t="s">
        <v>91</v>
      </c>
      <c r="B10" s="18">
        <v>10467000</v>
      </c>
      <c r="C10" s="18">
        <v>28438000</v>
      </c>
      <c r="D10" s="18">
        <v>50815000</v>
      </c>
      <c r="E10" s="8" t="s">
        <v>92</v>
      </c>
    </row>
    <row r="11" spans="1:5" x14ac:dyDescent="0.25">
      <c r="A11" t="s">
        <v>93</v>
      </c>
      <c r="B11" s="18">
        <v>424372000</v>
      </c>
      <c r="C11" s="18">
        <v>250958000</v>
      </c>
      <c r="D11" s="18">
        <v>147781000</v>
      </c>
      <c r="E11" s="8" t="s">
        <v>94</v>
      </c>
    </row>
    <row r="12" spans="1:5" x14ac:dyDescent="0.25">
      <c r="A12" t="s">
        <v>32</v>
      </c>
      <c r="B12" s="34">
        <v>1129796557</v>
      </c>
      <c r="C12" s="34">
        <v>903979442</v>
      </c>
      <c r="D12" s="34">
        <v>855310345</v>
      </c>
      <c r="E12" s="8" t="s">
        <v>95</v>
      </c>
    </row>
    <row r="15" spans="1:1" x14ac:dyDescent="0.25">
      <c r="A15" s="19" t="s">
        <v>96</v>
      </c>
    </row>
    <row r="16" ht="22" customHeight="1" spans="1:5" x14ac:dyDescent="0.25">
      <c r="A16" s="35" t="s">
        <v>97</v>
      </c>
      <c r="B16" s="35"/>
      <c r="C16" s="35"/>
      <c r="D16" s="35"/>
      <c r="E16" s="35"/>
    </row>
    <row r="17" ht="22" customHeight="1" spans="1:5" x14ac:dyDescent="0.25">
      <c r="A17" s="35" t="s">
        <v>98</v>
      </c>
      <c r="B17" s="35"/>
      <c r="C17" s="35"/>
      <c r="D17" s="35"/>
      <c r="E17" s="35"/>
    </row>
    <row r="19" spans="1:1" x14ac:dyDescent="0.25">
      <c r="A19" s="36" t="s">
        <v>99</v>
      </c>
    </row>
  </sheetData>
  <mergeCells count="2">
    <mergeCell ref="A16:E16"/>
    <mergeCell ref="A17:E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2026-09-19T00:06:23Z</dcterms:modified>
</cp:coreProperties>
</file>