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<sst xmlns="http://schemas.openxmlformats.org/spreadsheetml/2006/main" count="112" uniqueCount="100">
  <si>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Hermès International Société en commandite par actions (RMS.PA)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</si>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</sst>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0.11314199154056492</v>
      </c>
    </row>
    <row r="7" spans="1:2" x14ac:dyDescent="0.25">
      <c r="A7" t="s">
        <v>5</v>
      </c>
      <c r="B7" s="6">
        <v>0.41832939271494524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0.05848230169914019</v>
      </c>
    </row>
    <row r="10" spans="1:2" x14ac:dyDescent="0.25">
      <c r="A10" t="s">
        <v>8</v>
      </c>
      <c r="B10" s="6">
        <v>0.06288026243670114</v>
      </c>
    </row>
    <row r="11" spans="1:2" x14ac:dyDescent="0.25">
      <c r="A11" t="s">
        <v>9</v>
      </c>
      <c r="B11" s="6">
        <v>0.28038507821901326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17.00175311796352</v>
      </c>
    </row>
    <row r="14" spans="1:3" x14ac:dyDescent="0.25">
      <c r="A14" t="s">
        <v>12</v>
      </c>
      <c r="B14" s="6">
        <v>0.2729395759450228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1.00067</v>
      </c>
      <c r="C19" s="8" t="s">
        <v>19</v>
      </c>
    </row>
    <row r="20" spans="1:2" x14ac:dyDescent="0.25">
      <c r="A20" t="s">
        <v>20</v>
      </c>
      <c r="B20" s="10">
        <f>B17+B19*B18</f>
        <v>0.09204019999999999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139463360512</v>
      </c>
    </row>
    <row r="23" spans="1:2" x14ac:dyDescent="0.25">
      <c r="A23" t="s">
        <v>24</v>
      </c>
      <c r="B23" s="11">
        <v>2346000000</v>
      </c>
    </row>
    <row r="24" spans="1:2" x14ac:dyDescent="0.25">
      <c r="A24" t="s">
        <v>25</v>
      </c>
      <c r="B24" s="10">
        <f>B22/(B22+B23)</f>
        <v>0.9834566632870368</v>
      </c>
    </row>
    <row r="25" spans="1:2" x14ac:dyDescent="0.25">
      <c r="A25" t="s">
        <v>26</v>
      </c>
      <c r="B25" s="10">
        <f>1-B24</f>
        <v>0.016543336712963153</v>
      </c>
    </row>
    <row r="26" spans="1:2" x14ac:dyDescent="0.25">
      <c r="A26" t="s">
        <v>27</v>
      </c>
      <c r="B26" s="12">
        <f>B24*B20+B25*B21*(1-B8)</f>
        <v>0.09091035296718412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16001000000</v>
      </c>
      <c r="C29" s="8" t="s">
        <v>30</v>
      </c>
    </row>
    <row r="30" spans="1:2" x14ac:dyDescent="0.25">
      <c r="A30" t="s">
        <v>31</v>
      </c>
      <c r="B30" s="11">
        <v>-9893000000</v>
      </c>
    </row>
    <row r="31" spans="1:2" x14ac:dyDescent="0.25">
      <c r="A31" t="s">
        <v>32</v>
      </c>
      <c r="B31" s="13">
        <v>105036704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0.11314199154056492</v>
      </c>
      <c r="C5" s="10">
        <f>Assumptions!B6</f>
        <v>0.11314199154056492</v>
      </c>
      <c r="D5" s="10">
        <f>Assumptions!B6</f>
        <v>0.11314199154056492</v>
      </c>
      <c r="E5" s="10">
        <f>Assumptions!B6</f>
        <v>0.11314199154056492</v>
      </c>
      <c r="F5" s="10">
        <f>Assumptions!B6</f>
        <v>0.11314199154056492</v>
      </c>
    </row>
    <row r="6" spans="1:6" x14ac:dyDescent="0.25">
      <c r="A6" t="s">
        <v>43</v>
      </c>
      <c r="B6" s="18">
        <f>Assumptions!B29*(1+B5)</f>
        <v>17811385006.64058</v>
      </c>
      <c r="C6" s="18">
        <f>B6*(1+C5)</f>
        <v>19826600578.387653</v>
      </c>
      <c r="D6" s="18">
        <f>C6*(1+D5)</f>
        <v>22069821653.305748</v>
      </c>
      <c r="E6" s="18">
        <f>D6*(1+E5)</f>
        <v>24566845228.105843</v>
      </c>
      <c r="F6" s="18">
        <f>E6*(1+F5)</f>
        <v>27346387023.08256</v>
      </c>
    </row>
    <row r="7" spans="1:6" x14ac:dyDescent="0.25">
      <c r="A7" t="s">
        <v>5</v>
      </c>
      <c r="B7" s="10">
        <f>Assumptions!B7</f>
        <v>0.41832939271494524</v>
      </c>
      <c r="C7" s="10">
        <f>Assumptions!B7</f>
        <v>0.41832939271494524</v>
      </c>
      <c r="D7" s="10">
        <f>Assumptions!B7</f>
        <v>0.41832939271494524</v>
      </c>
      <c r="E7" s="10">
        <f>Assumptions!B7</f>
        <v>0.41832939271494524</v>
      </c>
      <c r="F7" s="10">
        <f>Assumptions!B7</f>
        <v>0.41832939271494524</v>
      </c>
    </row>
    <row r="8" spans="1:6" x14ac:dyDescent="0.25">
      <c r="A8" t="s">
        <v>44</v>
      </c>
      <c r="B8" s="18">
        <f>B6*B7</f>
        <v>7451025873.240034</v>
      </c>
      <c r="C8" s="18">
        <f>C6*C7</f>
        <v>8294049779.558689</v>
      </c>
      <c r="D8" s="18">
        <f>D6*D7</f>
        <v>9232455089.554543</v>
      </c>
      <c r="E8" s="18">
        <f>E6*E7</f>
        <v>10277033445.195568</v>
      </c>
      <c r="F8" s="18">
        <f>F6*F7</f>
        <v>11439797476.313988</v>
      </c>
    </row>
    <row r="9" spans="1:6" x14ac:dyDescent="0.25">
      <c r="A9" t="s">
        <v>45</v>
      </c>
      <c r="B9" s="18">
        <f>B8*(1-Assumptions!B8)</f>
        <v>5528661197.944105</v>
      </c>
      <c r="C9" s="18">
        <f>C8*(1-Assumptions!B8)</f>
        <v>6154184936.432548</v>
      </c>
      <c r="D9" s="18">
        <f>D8*(1-Assumptions!B8)</f>
        <v>6850481676.4494705</v>
      </c>
      <c r="E9" s="18">
        <f>E8*(1-Assumptions!B8)</f>
        <v>7625558816.335112</v>
      </c>
      <c r="F9" s="18">
        <f>F8*(1-Assumptions!B8)</f>
        <v>8488329727.424979</v>
      </c>
    </row>
    <row r="10" spans="1:6" x14ac:dyDescent="0.25">
      <c r="A10" t="s">
        <v>46</v>
      </c>
      <c r="B10" s="18">
        <f>B6*Assumptions!B9</f>
        <v>1041650791.6378964</v>
      </c>
      <c r="C10" s="18">
        <f>C6*Assumptions!B9</f>
        <v>1159505236.6936142</v>
      </c>
      <c r="D10" s="18">
        <f>D6*Assumptions!B9</f>
        <v>1290693968.3748436</v>
      </c>
      <c r="E10" s="18">
        <f>E6*Assumptions!B9</f>
        <v>1436725654.4261684</v>
      </c>
      <c r="F10" s="18">
        <f>F6*Assumptions!B9</f>
        <v>1599279656.2653666</v>
      </c>
    </row>
    <row r="11" spans="1:6" x14ac:dyDescent="0.25">
      <c r="A11" t="s">
        <v>47</v>
      </c>
      <c r="B11" s="18">
        <f>-B6*Assumptions!B10</f>
        <v>-1119984563.5786834</v>
      </c>
      <c r="C11" s="18">
        <f>-C6*Assumptions!B10</f>
        <v>-1246701847.5966663</v>
      </c>
      <c r="D11" s="18">
        <f>-D6*Assumptions!B10</f>
        <v>-1387756177.4910548</v>
      </c>
      <c r="E11" s="18">
        <f>-E6*Assumptions!B10</f>
        <v>-1544769675.1851144</v>
      </c>
      <c r="F11" s="18">
        <f>-F6*Assumptions!B10</f>
        <v>-1719547992.7070298</v>
      </c>
    </row>
    <row r="12" spans="1:6" x14ac:dyDescent="0.25">
      <c r="A12" t="s">
        <v>48</v>
      </c>
      <c r="B12" s="18">
        <f>-(B6-Assumptions!B29)*Assumptions!B11</f>
        <v>-507604941.69344765</v>
      </c>
      <c r="C12" s="18">
        <f>-(C6-B6)*Assumptions!B11</f>
        <v>-565036375.712477</v>
      </c>
      <c r="D12" s="18">
        <f>-(D6-C6)*Assumptions!B11</f>
        <v>-628965716.5534489</v>
      </c>
      <c r="E12" s="18">
        <f>-(E6-D6)*Assumptions!B11</f>
        <v>-700128150.3350446</v>
      </c>
      <c r="F12" s="18">
        <f>-(F6-E6)*Assumptions!B11</f>
        <v>-779342043.5975639</v>
      </c>
    </row>
    <row r="13" spans="1:6" x14ac:dyDescent="0.25">
      <c r="A13" s="19" t="s">
        <v>49</v>
      </c>
      <c r="B13" s="20">
        <f>B9+B10+B11+B12</f>
        <v>4942722484.309871</v>
      </c>
      <c r="C13" s="20">
        <f>C9+C10+C11+C12</f>
        <v>5501951949.8170185</v>
      </c>
      <c r="D13" s="20">
        <f>D9+D10+D11+D12</f>
        <v>6124453750.779811</v>
      </c>
      <c r="E13" s="20">
        <f>E9+E10+E11+E12</f>
        <v>6817386645.241121</v>
      </c>
      <c r="F13" s="20">
        <f>F9+F10+F11+F12</f>
        <v>7588719347.385753</v>
      </c>
    </row>
    <row r="14" spans="1:6" x14ac:dyDescent="0.25">
      <c r="A14" t="s">
        <v>50</v>
      </c>
      <c r="B14" s="21">
        <f>1/(1+Assumptions!$B$26)^(1-0.5*Assumptions!$B$32)</f>
        <v>0.9574265539395299</v>
      </c>
      <c r="C14" s="21">
        <f>1/(1+Assumptions!$B$26)^(2-0.5*Assumptions!$B$32)</f>
        <v>0.8776399924479682</v>
      </c>
      <c r="D14" s="21">
        <f>1/(1+Assumptions!$B$26)^(3-0.5*Assumptions!$B$32)</f>
        <v>0.8045023956926078</v>
      </c>
      <c r="E14" s="21">
        <f>1/(1+Assumptions!$B$26)^(4-0.5*Assumptions!$B$32)</f>
        <v>0.7374596762276838</v>
      </c>
      <c r="F14" s="21">
        <f>1/(1+Assumptions!$B$26)^(5-0.5*Assumptions!$B$32)</f>
        <v>0.676003921148842</v>
      </c>
    </row>
    <row r="15" spans="1:6" x14ac:dyDescent="0.25">
      <c r="A15" s="19" t="s">
        <v>51</v>
      </c>
      <c r="B15" s="20">
        <f>B13*B14</f>
        <v>4732293755.232232</v>
      </c>
      <c r="C15" s="20">
        <f>C13*C14</f>
        <v>4828733067.686492</v>
      </c>
      <c r="D15" s="20">
        <f>D13*D14</f>
        <v>4927137714.810936</v>
      </c>
      <c r="E15" s="20">
        <f>E13*E14</f>
        <v>5027547748.118453</v>
      </c>
      <c r="F15" s="20">
        <f>F13*F14</f>
        <v>5130004035.33085</v>
      </c>
    </row>
    <row r="17" spans="1:2" x14ac:dyDescent="0.25">
      <c r="A17" s="22" t="s">
        <v>52</v>
      </c>
      <c r="B17" s="23">
        <f>SUM(B15:F15)</f>
        <v>24645716321.178963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7588719347.385753</v>
      </c>
    </row>
    <row r="5" spans="1:2" x14ac:dyDescent="0.25">
      <c r="A5" t="s">
        <v>56</v>
      </c>
      <c r="B5" s="18">
        <f>IF(Assumptions!$B$33=0,B4,B4-Forecast!F11-Forecast!F10-Forecast!F12)</f>
        <v>8488329727.424979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0.09159536470092433</v>
      </c>
    </row>
    <row r="7" spans="1:2" x14ac:dyDescent="0.25">
      <c r="A7" t="s">
        <v>58</v>
      </c>
      <c r="B7" s="18">
        <f>-MAX(Forecast!F9,0)*B6</f>
        <v>-777491657.0851886</v>
      </c>
    </row>
    <row r="8" spans="1:2" x14ac:dyDescent="0.25">
      <c r="A8" t="s">
        <v>59</v>
      </c>
      <c r="B8" s="18">
        <f>IF(OR(Assumptions!$B$33=0,Assumptions!B12&lt;=0),B5,MAX(B5+B7,0))</f>
        <v>7710838070.33979</v>
      </c>
    </row>
    <row r="9" spans="1:2" x14ac:dyDescent="0.25">
      <c r="A9" t="s">
        <v>60</v>
      </c>
      <c r="B9" s="18">
        <f>B8*(1+Assumptions!B12)/(Assumptions!B26-Assumptions!B12)</f>
        <v>119914530362.67892</v>
      </c>
    </row>
    <row r="10" spans="1:2" x14ac:dyDescent="0.25">
      <c r="A10" t="s">
        <v>61</v>
      </c>
      <c r="B10" s="18">
        <f>B9/(1+Assumptions!B26)^(5-0.5*Assumptions!B32)</f>
        <v>81062692727.89282</v>
      </c>
    </row>
    <row r="11" spans="1:2" x14ac:dyDescent="0.25">
      <c r="A11" t="s">
        <v>62</v>
      </c>
      <c r="B11" s="18">
        <f>Forecast!B17+B10</f>
        <v>105708409049.07178</v>
      </c>
    </row>
    <row r="12" spans="1:2" x14ac:dyDescent="0.25">
      <c r="A12" t="s">
        <v>63</v>
      </c>
      <c r="B12" s="18">
        <f>-Assumptions!B30</f>
        <v>9893000000</v>
      </c>
    </row>
    <row r="13" spans="1:2" x14ac:dyDescent="0.25">
      <c r="A13" t="s">
        <v>64</v>
      </c>
      <c r="B13" s="18">
        <f>B11+B12</f>
        <v>115601409049.07178</v>
      </c>
    </row>
    <row r="14" spans="1:2" x14ac:dyDescent="0.25">
      <c r="A14" s="19" t="s">
        <v>65</v>
      </c>
      <c r="B14" s="24">
        <f>B13/Assumptions!B31</f>
        <v>1100.581079248943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13039077132.579353</v>
      </c>
    </row>
    <row r="18" spans="1:2" x14ac:dyDescent="0.25">
      <c r="A18" t="s">
        <v>60</v>
      </c>
      <c r="B18" s="18">
        <f>B17*Assumptions!B13</f>
        <v>221687170294.19788</v>
      </c>
    </row>
    <row r="19" spans="1:2" x14ac:dyDescent="0.25">
      <c r="A19" t="s">
        <v>61</v>
      </c>
      <c r="B19" s="18">
        <f>B18/(1+Assumptions!B26)^(5-0.5*Assumptions!B32)</f>
        <v>149861396387.26886</v>
      </c>
    </row>
    <row r="20" spans="1:2" x14ac:dyDescent="0.25">
      <c r="A20" t="s">
        <v>62</v>
      </c>
      <c r="B20" s="18">
        <f>Forecast!B17+B19</f>
        <v>174507112708.4478</v>
      </c>
    </row>
    <row r="21" spans="1:2" x14ac:dyDescent="0.25">
      <c r="A21" t="s">
        <v>63</v>
      </c>
      <c r="B21" s="18">
        <f>-Assumptions!B30</f>
        <v>9893000000</v>
      </c>
    </row>
    <row r="22" spans="1:2" x14ac:dyDescent="0.25">
      <c r="A22" t="s">
        <v>64</v>
      </c>
      <c r="B22" s="18">
        <f>B20+B21</f>
        <v>184400112708.4478</v>
      </c>
    </row>
    <row r="23" spans="1:2" x14ac:dyDescent="0.25">
      <c r="A23" s="19" t="s">
        <v>65</v>
      </c>
      <c r="B23" s="25">
        <f>B22/Assumptions!B31</f>
        <v>1755.577866461307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1331.5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1100.581079248943</v>
      </c>
    </row>
    <row r="29" spans="1:2" x14ac:dyDescent="0.25">
      <c r="A29" s="19" t="s">
        <v>73</v>
      </c>
      <c r="B29" s="12">
        <f>B28/B26-1</f>
        <v>-0.17342765358697476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0.07091</v>
      </c>
      <c r="B5" s="31">
        <v>1358.8422647886146</v>
      </c>
      <c r="C5" s="31">
        <v>1442.604437303597</v>
      </c>
      <c r="D5" s="31">
        <v>1544.3745611868094</v>
      </c>
      <c r="E5" s="31">
        <v>1670.7554052117425</v>
      </c>
      <c r="F5" s="31">
        <v>1832.027136521971</v>
      </c>
    </row>
    <row r="6" spans="1:6" x14ac:dyDescent="0.25">
      <c r="A6" s="30">
        <v>0.08091</v>
      </c>
      <c r="B6" s="31">
        <v>1163.0940672405793</v>
      </c>
      <c r="C6" s="31">
        <v>1218.069549015875</v>
      </c>
      <c r="D6" s="31">
        <v>1282.6913137197698</v>
      </c>
      <c r="E6" s="31">
        <v>1359.8015189623404</v>
      </c>
      <c r="F6" s="31">
        <v>1453.480465507693</v>
      </c>
    </row>
    <row r="7" spans="1:6" x14ac:dyDescent="0.25">
      <c r="A7" s="30">
        <v>0.09091</v>
      </c>
      <c r="B7" s="31">
        <v>1019.1439208872888</v>
      </c>
      <c r="C7" s="31">
        <v>1057.0644538852198</v>
      </c>
      <c r="D7" s="32">
        <v>1100.586528758064</v>
      </c>
      <c r="E7" s="31">
        <v>1151.0896091098887</v>
      </c>
      <c r="F7" s="31">
        <v>1210.4466171761555</v>
      </c>
    </row>
    <row r="8" spans="1:6" x14ac:dyDescent="0.25">
      <c r="A8" s="30">
        <v>0.10091</v>
      </c>
      <c r="B8" s="31">
        <v>908.8937030332395</v>
      </c>
      <c r="C8" s="31">
        <v>936.0246198010271</v>
      </c>
      <c r="D8" s="31">
        <v>966.6030938987404</v>
      </c>
      <c r="E8" s="31">
        <v>1001.3584069502538</v>
      </c>
      <c r="F8" s="31">
        <v>1041.2411367784616</v>
      </c>
    </row>
    <row r="9" spans="1:6" x14ac:dyDescent="0.25">
      <c r="A9" s="30">
        <v>0.11091</v>
      </c>
      <c r="B9" s="31">
        <v>821.7937899561945</v>
      </c>
      <c r="C9" s="31">
        <v>841.7542629581143</v>
      </c>
      <c r="D9" s="31">
        <v>863.9308066457542</v>
      </c>
      <c r="E9" s="31">
        <v>888.7342609682657</v>
      </c>
      <c r="F9" s="31">
        <v>916.6837098345285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16001000000</v>
      </c>
      <c r="C5" s="18">
        <v>15170000000</v>
      </c>
      <c r="D5" s="18">
        <v>13427000000</v>
      </c>
      <c r="E5" s="18">
        <v>11601000000</v>
      </c>
      <c r="F5" s="8" t="s">
        <v>84</v>
      </c>
    </row>
    <row r="6" spans="1:6" x14ac:dyDescent="0.25">
      <c r="A6" t="s">
        <v>44</v>
      </c>
      <c r="B6" s="18">
        <v>6695000000</v>
      </c>
      <c r="C6" s="18">
        <v>6232000000</v>
      </c>
      <c r="D6" s="18">
        <v>5755000000</v>
      </c>
      <c r="E6" s="18">
        <v>4820000000</v>
      </c>
      <c r="F6" s="8" t="s">
        <v>85</v>
      </c>
    </row>
    <row r="7" spans="1:6" x14ac:dyDescent="0.25">
      <c r="A7" t="s">
        <v>86</v>
      </c>
      <c r="B7" s="18">
        <v>926000000</v>
      </c>
      <c r="C7" s="18">
        <v>844000000</v>
      </c>
      <c r="D7" s="18">
        <v>772000000</v>
      </c>
      <c r="E7" s="18">
        <v>730000000</v>
      </c>
      <c r="F7" s="8" t="s">
        <v>87</v>
      </c>
    </row>
    <row r="8" spans="1:6" x14ac:dyDescent="0.25">
      <c r="A8" t="s">
        <v>88</v>
      </c>
      <c r="B8" s="18">
        <v>1161000000</v>
      </c>
      <c r="C8" s="18">
        <v>1067000000</v>
      </c>
      <c r="D8" s="18">
        <v>859000000</v>
      </c>
      <c r="E8" s="18">
        <v>518000000</v>
      </c>
      <c r="F8" s="8" t="s">
        <v>89</v>
      </c>
    </row>
    <row r="9" spans="1:6" x14ac:dyDescent="0.25">
      <c r="A9" t="s">
        <v>90</v>
      </c>
      <c r="B9" s="18">
        <v>233000000</v>
      </c>
      <c r="C9" s="18">
        <v>239000000</v>
      </c>
      <c r="D9" s="18">
        <v>794000000</v>
      </c>
      <c r="E9" s="18">
        <v>-73000000</v>
      </c>
      <c r="F9" s="8" t="s">
        <v>91</v>
      </c>
    </row>
    <row r="10" spans="1:6" x14ac:dyDescent="0.25">
      <c r="A10" t="s">
        <v>92</v>
      </c>
      <c r="B10" s="18">
        <v>2346000000</v>
      </c>
      <c r="C10" s="18">
        <v>2174000000</v>
      </c>
      <c r="D10" s="18">
        <v>2060000000</v>
      </c>
      <c r="E10" s="18">
        <v>1934000000</v>
      </c>
      <c r="F10" s="8" t="s">
        <v>93</v>
      </c>
    </row>
    <row r="11" spans="1:6" x14ac:dyDescent="0.25">
      <c r="A11" t="s">
        <v>94</v>
      </c>
      <c r="B11" s="18">
        <v>12239000000</v>
      </c>
      <c r="C11" s="18">
        <v>11642000000</v>
      </c>
      <c r="D11" s="18">
        <v>10625000000</v>
      </c>
      <c r="E11" s="18">
        <v>9225000000</v>
      </c>
      <c r="F11" s="8" t="s">
        <v>95</v>
      </c>
    </row>
    <row r="12" spans="1:6" x14ac:dyDescent="0.25">
      <c r="A12" t="s">
        <v>32</v>
      </c>
      <c r="B12" s="34">
        <v>105036704</v>
      </c>
      <c r="C12" s="34">
        <v>104931312</v>
      </c>
      <c r="D12" s="34">
        <v>104842483</v>
      </c>
      <c r="E12" s="34">
        <v>104936295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