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<sst xmlns="http://schemas.openxmlformats.org/spreadsheetml/2006/main" count="122" uniqueCount="102">
  <si>
    <t>Renault SA (RNO.PA)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</si>
  <si>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</si>
  <si>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</si>
  <si>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</si>
  <si>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</si>
  <si>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</si>
  <si>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</si>
  <si>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</si>
  <si>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</si>
  <si>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</si>
  <si>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</si>
  <si>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</si>
  <si>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</si>
  <si>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</si>
  <si>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</si>
  <si>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</si>
  <si>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EUR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</si>
  <si>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</si>
  <si>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</si>
  <si>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</si>
  <si>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</si>
  <si>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</si>
  <si>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</si>
  <si>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</si>
  <si>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</si>
  <si>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</si>
  <si>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</si>
  <si>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</si>
  <si>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</si>
  <si>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</si>
  <si>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</si>
  <si>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</si>
  <si>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</si>
  <si>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</si>
  <si>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</si>
  <si>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</si>
  <si>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</si>
  <si>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</si>
  <si>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</si>
  <si>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</si>
  <si>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</si>
  <si>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</si>
  <si>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</si>
  <si>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</si>
  <si>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</si>
  <si>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</si>
  <si>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</si>
  <si>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</si>
  <si>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</si>
  <si>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</si>
  <si>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</si>
  <si>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</si>
  <si>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</si>
  <si>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</si>
  <si>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</si>
  <si>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</si>
  <si>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</si>
  <si>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</si>
  <si>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</si>
  <si>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</si>
  <si>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</si>
  <si>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</si>
  <si>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</si>
  <si>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</si>
  <si>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</si>
  <si>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</si>
  <si>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</si>
  <si>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</si>
  <si>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</si>
  <si>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</si>
  <si>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</si>
  <si>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</si>
  <si>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</si>
  <si>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</si>
  <si>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</si>
  <si>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</si>
  <si>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n/a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</si>
  <si>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</si>
  <si>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</si>
  <si>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</si>
  <si>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</si>
  <si>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</si>
  <si>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</si>
  <si>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</si>
  <si>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</si>
  <si>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</si>
  <si>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</si>
  <si>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</si>
  <si>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</si>
  <si>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</si>
  <si>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</si>
  <si>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</si>
  <si>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</si>
  <si>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</si>
  <si>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</si>
  <si>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</si>
  <si>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</si>
  <si>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</si>
  <si>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</si>
  <si>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model values the shares at 16.7x the market price. A gap that size is a modelling failure rather than a view - most often an unusable beta, a currency or units mismatch, or a cashflow base that does not represent the business. Read the figures below as diagnostics, not as a call.</t>
  </si>
  <si>
    <t>Note: Risk-free rate is an assumption: EUR assumption - no free live source available for this market.</t>
  </si>
  <si>
    <t>Data: Yahoo Finance. Risk-free rate: EUR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</si>
</sst>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0.07729174618653567</v>
      </c>
    </row>
    <row r="7" spans="1:2" x14ac:dyDescent="0.25">
      <c r="A7" t="s">
        <v>5</v>
      </c>
      <c r="B7" s="6">
        <v>0.0685156134877133</v>
      </c>
    </row>
    <row r="8" spans="1:2" x14ac:dyDescent="0.25">
      <c r="A8" t="s">
        <v>6</v>
      </c>
      <c r="B8" s="6">
        <v>0.2462406015037594</v>
      </c>
    </row>
    <row r="9" spans="1:2" x14ac:dyDescent="0.25">
      <c r="A9" t="s">
        <v>7</v>
      </c>
      <c r="B9" s="6">
        <v>0.06672399306793256</v>
      </c>
    </row>
    <row r="10" spans="1:2" x14ac:dyDescent="0.25">
      <c r="A10" t="s">
        <v>8</v>
      </c>
      <c r="B10" s="6">
        <v>0.05580695387153492</v>
      </c>
    </row>
    <row r="11" spans="1:2" x14ac:dyDescent="0.25">
      <c r="A11" t="s">
        <v>9</v>
      </c>
      <c r="B11" s="6">
        <v>-0.2842323651452282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7.316443312412654</v>
      </c>
    </row>
    <row r="14" spans="1:3" x14ac:dyDescent="0.25">
      <c r="A14" t="s">
        <v>12</v>
      </c>
      <c r="B14" s="6">
        <v>0.03141128800986604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0.88208</v>
      </c>
      <c r="C19" s="8" t="s">
        <v>19</v>
      </c>
    </row>
    <row r="20" spans="1:2" x14ac:dyDescent="0.25">
      <c r="A20" t="s">
        <v>20</v>
      </c>
      <c r="B20" s="10">
        <f>B17+B19*B18</f>
        <v>0.0849248</v>
      </c>
    </row>
    <row r="21" spans="1:3" x14ac:dyDescent="0.25">
      <c r="A21" t="s">
        <v>21</v>
      </c>
      <c r="B21" s="6">
        <v>0.032</v>
      </c>
      <c r="C21" s="8" t="s">
        <v>22</v>
      </c>
    </row>
    <row r="22" spans="1:2" x14ac:dyDescent="0.25">
      <c r="A22" t="s">
        <v>23</v>
      </c>
      <c r="B22" s="11">
        <v>7931725312</v>
      </c>
    </row>
    <row r="23" spans="1:2" x14ac:dyDescent="0.25">
      <c r="A23" t="s">
        <v>24</v>
      </c>
      <c r="B23" s="11">
        <v>68939000000</v>
      </c>
    </row>
    <row r="24" spans="1:2" x14ac:dyDescent="0.25">
      <c r="A24" t="s">
        <v>25</v>
      </c>
      <c r="B24" s="10">
        <f>B22/(B22+B23)</f>
        <v>0.10318265217099244</v>
      </c>
    </row>
    <row r="25" spans="1:2" x14ac:dyDescent="0.25">
      <c r="A25" t="s">
        <v>26</v>
      </c>
      <c r="B25" s="10">
        <f>1-B24</f>
        <v>0.8968173478290076</v>
      </c>
    </row>
    <row r="26" spans="1:2" x14ac:dyDescent="0.25">
      <c r="A26" t="s">
        <v>27</v>
      </c>
      <c r="B26" s="12">
        <f>B24*B20+B25*B21*(1-B8)</f>
        <v>0.030394270248229868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57922000000</v>
      </c>
      <c r="C29" s="8" t="s">
        <v>30</v>
      </c>
    </row>
    <row r="30" spans="1:2" x14ac:dyDescent="0.25">
      <c r="A30" t="s">
        <v>31</v>
      </c>
      <c r="B30" s="11">
        <v>49656000000</v>
      </c>
    </row>
    <row r="31" spans="1:2" x14ac:dyDescent="0.25">
      <c r="A31" t="s">
        <v>32</v>
      </c>
      <c r="B31" s="13">
        <v>273380000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0.07729174618653567</v>
      </c>
      <c r="C5" s="10">
        <f>Assumptions!B6</f>
        <v>0.07729174618653567</v>
      </c>
      <c r="D5" s="10">
        <f>Assumptions!B6</f>
        <v>0.07729174618653567</v>
      </c>
      <c r="E5" s="10">
        <f>Assumptions!B6</f>
        <v>0.07729174618653567</v>
      </c>
      <c r="F5" s="10">
        <f>Assumptions!B6</f>
        <v>0.07729174618653567</v>
      </c>
    </row>
    <row r="6" spans="1:6" x14ac:dyDescent="0.25">
      <c r="A6" t="s">
        <v>43</v>
      </c>
      <c r="B6" s="18">
        <f>Assumptions!B29*(1+B5)</f>
        <v>62398892522.616516</v>
      </c>
      <c r="C6" s="18">
        <f>B6*(1+C5)</f>
        <v>67221811885.79551</v>
      </c>
      <c r="D6" s="18">
        <f>C6*(1+D5)</f>
        <v>72417503108.27147</v>
      </c>
      <c r="E6" s="18">
        <f>D6*(1+E5)</f>
        <v>78014778377.97865</v>
      </c>
      <c r="F6" s="18">
        <f>E6*(1+F5)</f>
        <v>84044676827.16821</v>
      </c>
    </row>
    <row r="7" spans="1:6" x14ac:dyDescent="0.25">
      <c r="A7" t="s">
        <v>5</v>
      </c>
      <c r="B7" s="10">
        <f>Assumptions!B7</f>
        <v>0.0685156134877133</v>
      </c>
      <c r="C7" s="10">
        <f>Assumptions!B7</f>
        <v>0.0685156134877133</v>
      </c>
      <c r="D7" s="10">
        <f>Assumptions!B7</f>
        <v>0.0685156134877133</v>
      </c>
      <c r="E7" s="10">
        <f>Assumptions!B7</f>
        <v>0.0685156134877133</v>
      </c>
      <c r="F7" s="10">
        <f>Assumptions!B7</f>
        <v>0.0685156134877133</v>
      </c>
    </row>
    <row r="8" spans="1:6" x14ac:dyDescent="0.25">
      <c r="A8" t="s">
        <v>44</v>
      </c>
      <c r="B8" s="18">
        <f>B6*B7</f>
        <v>4275298402.140957</v>
      </c>
      <c r="C8" s="18">
        <f>C6*C7</f>
        <v>4605743681.110937</v>
      </c>
      <c r="D8" s="18">
        <f>D6*D7</f>
        <v>4961729652.711605</v>
      </c>
      <c r="E8" s="18">
        <f>E6*E7</f>
        <v>5345230401.675199</v>
      </c>
      <c r="F8" s="18">
        <f>F6*F7</f>
        <v>5758372593.190032</v>
      </c>
    </row>
    <row r="9" spans="1:6" x14ac:dyDescent="0.25">
      <c r="A9" t="s">
        <v>45</v>
      </c>
      <c r="B9" s="18">
        <f>B8*(1-Assumptions!B8)</f>
        <v>3222546351.9897065</v>
      </c>
      <c r="C9" s="18">
        <f>C8*(1-Assumptions!B8)</f>
        <v>3471622586.702041</v>
      </c>
      <c r="D9" s="18">
        <f>D8*(1-Assumptions!B8)</f>
        <v>3739950358.5288606</v>
      </c>
      <c r="E9" s="18">
        <f>E8*(1-Assumptions!B8)</f>
        <v>4029017652.3905163</v>
      </c>
      <c r="F9" s="18">
        <f>F8*(1-Assumptions!B8)</f>
        <v>4340427462.160156</v>
      </c>
    </row>
    <row r="10" spans="1:6" x14ac:dyDescent="0.25">
      <c r="A10" t="s">
        <v>46</v>
      </c>
      <c r="B10" s="18">
        <f>B6*Assumptions!B9</f>
        <v>4163503272.125733</v>
      </c>
      <c r="C10" s="18">
        <f>C6*Assumptions!B9</f>
        <v>4485307710.281686</v>
      </c>
      <c r="D10" s="18">
        <f>D6*Assumptions!B9</f>
        <v>4831984975.39329</v>
      </c>
      <c r="E10" s="18">
        <f>E6*Assumptions!B9</f>
        <v>5205457531.688542</v>
      </c>
      <c r="F10" s="18">
        <f>F6*Assumptions!B9</f>
        <v>5607796434.012604</v>
      </c>
    </row>
    <row r="11" spans="1:6" x14ac:dyDescent="0.25">
      <c r="A11" t="s">
        <v>47</v>
      </c>
      <c r="B11" s="18">
        <f>-B6*Assumptions!B10</f>
        <v>-3482292116.644525</v>
      </c>
      <c r="C11" s="18">
        <f>-C6*Assumptions!B10</f>
        <v>-3751444555.071588</v>
      </c>
      <c r="D11" s="18">
        <f>-D6*Assumptions!B10</f>
        <v>-4041400255.4550424</v>
      </c>
      <c r="E11" s="18">
        <f>-E6*Assumptions!B10</f>
        <v>-4353767138.237875</v>
      </c>
      <c r="F11" s="18">
        <f>-F6*Assumptions!B10</f>
        <v>-4690277402.841836</v>
      </c>
    </row>
    <row r="12" spans="1:6" x14ac:dyDescent="0.25">
      <c r="A12" t="s">
        <v>48</v>
      </c>
      <c r="B12" s="18">
        <f>-(B6-Assumptions!B29)*Assumptions!B11</f>
        <v>1272477750.2042794</v>
      </c>
      <c r="C12" s="18">
        <f>-(C6-B6)*Assumptions!B11</f>
        <v>1370829777.5010831</v>
      </c>
      <c r="D12" s="18">
        <f>-(D6-C6)*Assumptions!B11</f>
        <v>1476783604.7286441</v>
      </c>
      <c r="E12" s="18">
        <f>-(E6-D6)*Assumptions!B11</f>
        <v>1590926788.277768</v>
      </c>
      <c r="F12" s="18">
        <f>-(F6-E6)*Assumptions!B11</f>
        <v>1713892297.7986922</v>
      </c>
    </row>
    <row r="13" spans="1:6" x14ac:dyDescent="0.25">
      <c r="A13" s="19" t="s">
        <v>49</v>
      </c>
      <c r="B13" s="20">
        <f>B9+B10+B11+B12</f>
        <v>5176235257.675194</v>
      </c>
      <c r="C13" s="20">
        <f>C9+C10+C11+C12</f>
        <v>5576315519.413221</v>
      </c>
      <c r="D13" s="20">
        <f>D9+D10+D11+D12</f>
        <v>6007318683.195752</v>
      </c>
      <c r="E13" s="20">
        <f>E9+E10+E11+E12</f>
        <v>6471634834.118953</v>
      </c>
      <c r="F13" s="20">
        <f>F9+F10+F11+F12</f>
        <v>6971838791.129616</v>
      </c>
    </row>
    <row r="14" spans="1:6" x14ac:dyDescent="0.25">
      <c r="A14" t="s">
        <v>50</v>
      </c>
      <c r="B14" s="21">
        <f>1/(1+Assumptions!$B$26)^(1-0.5*Assumptions!$B$32)</f>
        <v>0.9851407468418616</v>
      </c>
      <c r="C14" s="21">
        <f>1/(1+Assumptions!$B$26)^(2-0.5*Assumptions!$B$32)</f>
        <v>0.9560813518543089</v>
      </c>
      <c r="D14" s="21">
        <f>1/(1+Assumptions!$B$26)^(3-0.5*Assumptions!$B$32)</f>
        <v>0.9278791424412537</v>
      </c>
      <c r="E14" s="21">
        <f>1/(1+Assumptions!$B$26)^(4-0.5*Assumptions!$B$32)</f>
        <v>0.900508833592136</v>
      </c>
      <c r="F14" s="21">
        <f>1/(1+Assumptions!$B$26)^(5-0.5*Assumptions!$B$32)</f>
        <v>0.8739458861462774</v>
      </c>
    </row>
    <row r="15" spans="1:6" x14ac:dyDescent="0.25">
      <c r="A15" s="19" t="s">
        <v>51</v>
      </c>
      <c r="B15" s="20">
        <f>B13*B14</f>
        <v>5099320267.575316</v>
      </c>
      <c r="C15" s="20">
        <f>C13*C14</f>
        <v>5331411280.166756</v>
      </c>
      <c r="D15" s="20">
        <f>D13*D14</f>
        <v>5574065708.134995</v>
      </c>
      <c r="E15" s="20">
        <f>E13*E14</f>
        <v>5827764335.906694</v>
      </c>
      <c r="F15" s="20">
        <f>F13*F14</f>
        <v>6093009830.382764</v>
      </c>
    </row>
    <row r="17" spans="1:2" x14ac:dyDescent="0.25">
      <c r="A17" s="22" t="s">
        <v>52</v>
      </c>
      <c r="B17" s="23">
        <f>SUM(B15:F15)</f>
        <v>27925571422.166523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6971838791.129616</v>
      </c>
    </row>
    <row r="5" spans="1:2" x14ac:dyDescent="0.25">
      <c r="A5" t="s">
        <v>56</v>
      </c>
      <c r="B5" s="18">
        <f>IF(Assumptions!$B$33=0,B4,B4-Forecast!F11-Forecast!F10-Forecast!F12)</f>
        <v>4340427462.160156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0.7958922280470542</v>
      </c>
    </row>
    <row r="7" spans="1:2" x14ac:dyDescent="0.25">
      <c r="A7" t="s">
        <v>58</v>
      </c>
      <c r="B7" s="18">
        <f>-MAX(Forecast!F9,0)*B6</f>
        <v>-3454512483.535268</v>
      </c>
    </row>
    <row r="8" spans="1:2" x14ac:dyDescent="0.25">
      <c r="A8" t="s">
        <v>59</v>
      </c>
      <c r="B8" s="18">
        <f>IF(OR(Assumptions!$B$33=0,Assumptions!B12&lt;=0),B5,MAX(B5+B7,0))</f>
        <v>885914978.6248884</v>
      </c>
    </row>
    <row r="9" spans="1:2" x14ac:dyDescent="0.25">
      <c r="A9" t="s">
        <v>60</v>
      </c>
      <c r="B9" s="18">
        <f>B8*(1+Assumptions!B12)/(Assumptions!B26-Assumptions!B12)</f>
        <v>168338405623.7249</v>
      </c>
    </row>
    <row r="10" spans="1:2" x14ac:dyDescent="0.25">
      <c r="A10" t="s">
        <v>61</v>
      </c>
      <c r="B10" s="18">
        <f>B9/(1+Assumptions!B26)^(5-0.5*Assumptions!B32)</f>
        <v>147118657075.27777</v>
      </c>
    </row>
    <row r="11" spans="1:2" x14ac:dyDescent="0.25">
      <c r="A11" t="s">
        <v>62</v>
      </c>
      <c r="B11" s="18">
        <f>Forecast!B17+B10</f>
        <v>175044228497.4443</v>
      </c>
    </row>
    <row r="12" spans="1:2" x14ac:dyDescent="0.25">
      <c r="A12" t="s">
        <v>63</v>
      </c>
      <c r="B12" s="18">
        <f>-Assumptions!B30</f>
        <v>-49656000000</v>
      </c>
    </row>
    <row r="13" spans="1:2" x14ac:dyDescent="0.25">
      <c r="A13" t="s">
        <v>64</v>
      </c>
      <c r="B13" s="18">
        <f>B11+B12</f>
        <v>125388228497.4443</v>
      </c>
    </row>
    <row r="14" spans="1:2" x14ac:dyDescent="0.25">
      <c r="A14" s="19" t="s">
        <v>65</v>
      </c>
      <c r="B14" s="24">
        <f>B13/Assumptions!B31</f>
        <v>458.6591136785584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11366169027.202637</v>
      </c>
    </row>
    <row r="18" spans="1:2" x14ac:dyDescent="0.25">
      <c r="A18" t="s">
        <v>60</v>
      </c>
      <c r="B18" s="18">
        <f>B17*Assumptions!B13</f>
        <v>83159931366.82858</v>
      </c>
    </row>
    <row r="19" spans="1:2" x14ac:dyDescent="0.25">
      <c r="A19" t="s">
        <v>61</v>
      </c>
      <c r="B19" s="18">
        <f>B18/(1+Assumptions!B26)^(5-0.5*Assumptions!B32)</f>
        <v>72677279910.24661</v>
      </c>
    </row>
    <row r="20" spans="1:2" x14ac:dyDescent="0.25">
      <c r="A20" t="s">
        <v>62</v>
      </c>
      <c r="B20" s="18">
        <f>Forecast!B17+B19</f>
        <v>100602851332.41313</v>
      </c>
    </row>
    <row r="21" spans="1:2" x14ac:dyDescent="0.25">
      <c r="A21" t="s">
        <v>63</v>
      </c>
      <c r="B21" s="18">
        <f>-Assumptions!B30</f>
        <v>-49656000000</v>
      </c>
    </row>
    <row r="22" spans="1:2" x14ac:dyDescent="0.25">
      <c r="A22" t="s">
        <v>64</v>
      </c>
      <c r="B22" s="18">
        <f>B20+B21</f>
        <v>50946851332.41313</v>
      </c>
    </row>
    <row r="23" spans="1:2" x14ac:dyDescent="0.25">
      <c r="A23" s="19" t="s">
        <v>65</v>
      </c>
      <c r="B23" s="25">
        <f>B22/Assumptions!B31</f>
        <v>186.35910210115273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27.41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458.6591136785584</v>
      </c>
    </row>
    <row r="29" spans="1:2" x14ac:dyDescent="0.25">
      <c r="A29" s="19" t="s">
        <v>73</v>
      </c>
      <c r="B29" s="12">
        <f>B28/B26-1</f>
        <v>15.733276675613222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0.010394</v>
      </c>
      <c r="B5" s="31" t="s">
        <v>76</v>
      </c>
      <c r="C5" s="31" t="s">
        <v>76</v>
      </c>
      <c r="D5" s="31" t="s">
        <v>76</v>
      </c>
      <c r="E5" s="31" t="s">
        <v>76</v>
      </c>
      <c r="F5" s="31" t="s">
        <v>76</v>
      </c>
    </row>
    <row r="6" spans="1:6" x14ac:dyDescent="0.25">
      <c r="A6" s="30">
        <v>0.020394</v>
      </c>
      <c r="B6" s="31">
        <v>1348.4863611442745</v>
      </c>
      <c r="C6" s="31">
        <v>13558.38386136632</v>
      </c>
      <c r="D6" s="31" t="s">
        <v>76</v>
      </c>
      <c r="E6" s="31" t="s">
        <v>76</v>
      </c>
      <c r="F6" s="31" t="s">
        <v>76</v>
      </c>
    </row>
    <row r="7" spans="1:6" x14ac:dyDescent="0.25">
      <c r="A7" s="30">
        <v>0.030394</v>
      </c>
      <c r="B7" s="31">
        <v>398.5059135679834</v>
      </c>
      <c r="C7" s="31">
        <v>415.18392544503814</v>
      </c>
      <c r="D7" s="32">
        <v>458.6867802684002</v>
      </c>
      <c r="E7" s="31">
        <v>3547.8817754077745</v>
      </c>
      <c r="F7" s="31" t="s">
        <v>76</v>
      </c>
    </row>
    <row r="8" spans="1:6" x14ac:dyDescent="0.25">
      <c r="A8" s="30">
        <v>0.040394</v>
      </c>
      <c r="B8" s="31">
        <v>251.82827759186586</v>
      </c>
      <c r="C8" s="31">
        <v>253.4727577260514</v>
      </c>
      <c r="D8" s="31">
        <v>255.11723786023686</v>
      </c>
      <c r="E8" s="31">
        <v>256.7617179944226</v>
      </c>
      <c r="F8" s="31">
        <v>258.40619812860774</v>
      </c>
    </row>
    <row r="9" spans="1:6" x14ac:dyDescent="0.25">
      <c r="A9" s="30">
        <v>0.050394</v>
      </c>
      <c r="B9" s="31">
        <v>171.899798437479</v>
      </c>
      <c r="C9" s="31">
        <v>173.16241618818674</v>
      </c>
      <c r="D9" s="31">
        <v>174.42503393889456</v>
      </c>
      <c r="E9" s="31">
        <v>175.6876516896024</v>
      </c>
      <c r="F9" s="31">
        <v>176.95026944031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77</v>
      </c>
    </row>
    <row r="2" spans="1:1" x14ac:dyDescent="0.25">
      <c r="A2" s="3" t="s">
        <v>78</v>
      </c>
    </row>
    <row r="4" spans="1:6" x14ac:dyDescent="0.25">
      <c r="A4" s="16" t="s">
        <v>79</v>
      </c>
      <c r="B4" s="17" t="s">
        <v>80</v>
      </c>
      <c r="C4" s="17" t="s">
        <v>81</v>
      </c>
      <c r="D4" s="17" t="s">
        <v>82</v>
      </c>
      <c r="E4" s="17" t="s">
        <v>83</v>
      </c>
      <c r="F4" s="33" t="s">
        <v>84</v>
      </c>
    </row>
    <row r="5" spans="1:6" x14ac:dyDescent="0.25">
      <c r="A5" t="s">
        <v>43</v>
      </c>
      <c r="B5" s="18">
        <v>57922000000</v>
      </c>
      <c r="C5" s="18">
        <v>56232000000</v>
      </c>
      <c r="D5" s="18">
        <v>52376000000</v>
      </c>
      <c r="E5" s="18">
        <v>46328000000</v>
      </c>
      <c r="F5" s="8" t="s">
        <v>85</v>
      </c>
    </row>
    <row r="6" spans="1:6" x14ac:dyDescent="0.25">
      <c r="A6" t="s">
        <v>44</v>
      </c>
      <c r="B6" s="18">
        <v>3632000000</v>
      </c>
      <c r="C6" s="18">
        <v>4263000000</v>
      </c>
      <c r="D6" s="18">
        <v>4117000000</v>
      </c>
      <c r="E6" s="18">
        <v>2638000000</v>
      </c>
      <c r="F6" s="8" t="s">
        <v>86</v>
      </c>
    </row>
    <row r="7" spans="1:6" x14ac:dyDescent="0.25">
      <c r="A7" t="s">
        <v>87</v>
      </c>
      <c r="B7" s="18">
        <v>4239000000</v>
      </c>
      <c r="C7" s="18">
        <v>3183000000</v>
      </c>
      <c r="D7" s="18">
        <v>3188000000</v>
      </c>
      <c r="E7" s="18">
        <v>3532000000</v>
      </c>
      <c r="F7" s="8" t="s">
        <v>88</v>
      </c>
    </row>
    <row r="8" spans="1:6" x14ac:dyDescent="0.25">
      <c r="A8" t="s">
        <v>89</v>
      </c>
      <c r="B8" s="18">
        <v>3044000000</v>
      </c>
      <c r="C8" s="18">
        <v>3050000000</v>
      </c>
      <c r="D8" s="18">
        <v>3064000000</v>
      </c>
      <c r="E8" s="18">
        <v>2684000000</v>
      </c>
      <c r="F8" s="8" t="s">
        <v>90</v>
      </c>
    </row>
    <row r="9" spans="1:6" x14ac:dyDescent="0.25">
      <c r="A9" t="s">
        <v>91</v>
      </c>
      <c r="B9" s="18">
        <v>-577000000</v>
      </c>
      <c r="C9" s="18">
        <v>-1096000000</v>
      </c>
      <c r="D9" s="18">
        <v>71000000</v>
      </c>
      <c r="E9" s="18">
        <v>-404000000</v>
      </c>
      <c r="F9" s="8" t="s">
        <v>92</v>
      </c>
    </row>
    <row r="10" spans="1:6" x14ac:dyDescent="0.25">
      <c r="A10" t="s">
        <v>93</v>
      </c>
      <c r="B10" s="18">
        <v>68939000000</v>
      </c>
      <c r="C10" s="18">
        <v>70265000000</v>
      </c>
      <c r="D10" s="18">
        <v>65083000000</v>
      </c>
      <c r="E10" s="18">
        <v>62763000000</v>
      </c>
      <c r="F10" s="8" t="s">
        <v>94</v>
      </c>
    </row>
    <row r="11" spans="1:6" x14ac:dyDescent="0.25">
      <c r="A11" t="s">
        <v>95</v>
      </c>
      <c r="B11" s="18">
        <v>19283000000</v>
      </c>
      <c r="C11" s="18">
        <v>22089000000</v>
      </c>
      <c r="D11" s="18">
        <v>20289000000</v>
      </c>
      <c r="E11" s="18">
        <v>21192000000</v>
      </c>
      <c r="F11" s="8" t="s">
        <v>96</v>
      </c>
    </row>
    <row r="12" spans="1:6" x14ac:dyDescent="0.25">
      <c r="A12" t="s">
        <v>32</v>
      </c>
      <c r="B12" s="34">
        <v>273380000</v>
      </c>
      <c r="C12" s="34">
        <v>289902395</v>
      </c>
      <c r="D12" s="34">
        <v>275141000</v>
      </c>
      <c r="E12" s="34">
        <v>274251000</v>
      </c>
      <c r="F12" s="8" t="s">
        <v>97</v>
      </c>
    </row>
    <row r="15" spans="1:1" x14ac:dyDescent="0.25">
      <c r="A15" s="19" t="s">
        <v>98</v>
      </c>
    </row>
    <row r="16" ht="54" customHeight="1" spans="1:6" x14ac:dyDescent="0.25">
      <c r="A16" s="35" t="s">
        <v>99</v>
      </c>
      <c r="B16" s="35"/>
      <c r="C16" s="35"/>
      <c r="D16" s="35"/>
      <c r="E16" s="35"/>
      <c r="F16" s="35"/>
    </row>
    <row r="17" ht="22" customHeight="1" spans="1:6" x14ac:dyDescent="0.25">
      <c r="A17" s="35" t="s">
        <v>100</v>
      </c>
      <c r="B17" s="35"/>
      <c r="C17" s="35"/>
      <c r="D17" s="35"/>
      <c r="E17" s="35"/>
      <c r="F17" s="35"/>
    </row>
    <row r="19" spans="1:1" x14ac:dyDescent="0.25">
      <c r="A19" s="36" t="s">
        <v>101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2026-09-19T00:08:10Z</dcterms:modified>
</cp:coreProperties>
</file>