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<sst xmlns="http://schemas.openxmlformats.org/spreadsheetml/2006/main" count="120" uniqueCount="107">
  <si>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Rockwell Automation, Inc. (ROK)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</si>
  <si>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</si>
  <si>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</si>
  <si>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</si>
  <si>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</si>
  <si>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</si>
  <si>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</si>
  <si>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</si>
  <si>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</si>
  <si>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</si>
  <si>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</si>
  <si>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</si>
  <si>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</si>
  <si>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</si>
  <si>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</si>
  <si>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</si>
  <si>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</si>
  <si>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</si>
  <si>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</si>
  <si>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</si>
  <si>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</si>
  <si>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</si>
  <si>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</si>
  <si>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</si>
  <si>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9.1x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</si>
  <si>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</si>
  <si>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</si>
  <si>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</si>
  <si>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</si>
  <si>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</si>
  <si>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</si>
  <si>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</si>
  <si>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</si>
  <si>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</si>
  <si>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</si>
  <si>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</si>
  <si>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</si>
  <si>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</si>
  <si>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</si>
  <si>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</si>
  <si>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</si>
  <si>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</si>
  <si>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</si>
  <si>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</si>
  <si>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</si>
  <si>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</si>
  <si>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</si>
  <si>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</si>
  <si>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</si>
  <si>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</si>
  <si>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</si>
  <si>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</si>
  <si>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</si>
  <si>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</si>
  <si>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</si>
  <si>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</si>
  <si>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</si>
  <si>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</si>
  <si>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</si>
  <si>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</si>
  <si>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</si>
  <si>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</si>
  <si>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</si>
  <si>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</si>
  <si>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</si>
  <si>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</si>
  <si>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</si>
  <si>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</si>
  <si>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</si>
  <si>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</si>
  <si>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</si>
  <si>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</si>
  <si>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</si>
  <si>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</si>
  <si>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</si>
  <si>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</si>
  <si>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</si>
  <si>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</si>
  <si>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</si>
  <si>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</si>
  <si>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</si>
  <si>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</si>
  <si>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</si>
  <si>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</si>
  <si>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</si>
  <si>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</si>
  <si>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</si>
  <si>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</si>
  <si>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</si>
  <si>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</si>
  <si>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</si>
  <si>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</si>
  <si>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</si>
  <si>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</si>
  <si>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</si>
  <si>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</si>
  <si>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</si>
  <si>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</si>
  <si>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</si>
  <si>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</si>
  <si>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</si>
  <si>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</si>
  <si>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</si>
  <si>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</si>
  <si>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</si>
  <si>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29.6x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</si>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</sst>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0.08581072764325093</v>
      </c>
    </row>
    <row r="7" spans="1:2" x14ac:dyDescent="0.25">
      <c r="A7" t="s">
        <v>4</v>
      </c>
      <c r="B7" s="5">
        <v>0.16844878658462364</v>
      </c>
    </row>
    <row r="8" spans="1:2" x14ac:dyDescent="0.25">
      <c r="A8" t="s">
        <v>5</v>
      </c>
      <c r="B8" s="5">
        <v>0.16355722631141853</v>
      </c>
    </row>
    <row r="9" spans="1:2" x14ac:dyDescent="0.25">
      <c r="A9" t="s">
        <v>6</v>
      </c>
      <c r="B9" s="5">
        <v>0.0339257593939268</v>
      </c>
    </row>
    <row r="10" spans="1:3" x14ac:dyDescent="0.25">
      <c r="A10" t="s">
        <v>7</v>
      </c>
      <c r="B10" s="5">
        <v>0.0213699328988094</v>
      </c>
      <c r="C10" s="6" t="s">
        <v>8</v>
      </c>
    </row>
    <row r="11" spans="1:2" x14ac:dyDescent="0.25">
      <c r="A11" t="s">
        <v>9</v>
      </c>
      <c r="B11" s="5">
        <v>0.26843936269626906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0.17163284202020337</v>
      </c>
      <c r="C14" s="6" t="s">
        <v>13</v>
      </c>
    </row>
    <row r="15" spans="1:3" x14ac:dyDescent="0.25">
      <c r="A15" t="s">
        <v>14</v>
      </c>
      <c r="B15" s="5">
        <v>0.017862168636919303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1.33567</v>
      </c>
      <c r="C19" s="6" t="s">
        <v>21</v>
      </c>
    </row>
    <row r="20" spans="1:2" x14ac:dyDescent="0.25">
      <c r="A20" t="s">
        <v>22</v>
      </c>
      <c r="B20" s="9">
        <f>B17+B19*B18</f>
        <v>0.105438841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48537698304</v>
      </c>
    </row>
    <row r="23" spans="1:2" x14ac:dyDescent="0.25">
      <c r="A23" t="s">
        <v>26</v>
      </c>
      <c r="B23" s="10">
        <v>3647000000</v>
      </c>
    </row>
    <row r="24" spans="1:2" x14ac:dyDescent="0.25">
      <c r="A24" t="s">
        <v>27</v>
      </c>
      <c r="B24" s="9">
        <f>B22/(B22+B23)</f>
        <v>0.9301136134053216</v>
      </c>
    </row>
    <row r="25" spans="1:2" x14ac:dyDescent="0.25">
      <c r="A25" t="s">
        <v>28</v>
      </c>
      <c r="B25" s="9">
        <f>1-B24</f>
        <v>0.06988638659467838</v>
      </c>
    </row>
    <row r="26" spans="1:2" x14ac:dyDescent="0.25">
      <c r="A26" t="s">
        <v>29</v>
      </c>
      <c r="B26" s="11">
        <f>B24*B20+B25*B21*(1-B8)</f>
        <v>0.10116476007945165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8342000000</v>
      </c>
      <c r="C29" s="6" t="s">
        <v>32</v>
      </c>
    </row>
    <row r="30" spans="1:2" x14ac:dyDescent="0.25">
      <c r="A30" t="s">
        <v>33</v>
      </c>
      <c r="B30" s="10">
        <v>3179000000</v>
      </c>
    </row>
    <row r="31" spans="1:2" x14ac:dyDescent="0.25">
      <c r="A31" t="s">
        <v>34</v>
      </c>
      <c r="B31" s="12">
        <v>113100000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0.08581072764325093</v>
      </c>
      <c r="C5" s="5">
        <v>0.058010239842032574</v>
      </c>
      <c r="D5" s="5">
        <v>0.053883959861778505</v>
      </c>
      <c r="E5" s="5">
        <v>0.04975767988152443</v>
      </c>
      <c r="F5" s="5">
        <v>0.04563139990127036</v>
      </c>
      <c r="G5" s="5">
        <v>0.041505119921016284</v>
      </c>
      <c r="H5" s="5">
        <v>0.037378839940762215</v>
      </c>
      <c r="I5" s="5">
        <v>0.033252559960508146</v>
      </c>
      <c r="J5" s="5">
        <v>0.029126279980254074</v>
      </c>
      <c r="K5" s="5">
        <v>0.025</v>
      </c>
    </row>
    <row r="6" spans="1:11" x14ac:dyDescent="0.25">
      <c r="A6" t="s">
        <v>50</v>
      </c>
      <c r="B6" s="18">
        <f>Assumptions!B29*(1+B5)</f>
        <v>9057833090</v>
      </c>
      <c r="C6" s="18">
        <f>B6*(1+C5)</f>
        <v>9583280159.999998</v>
      </c>
      <c r="D6" s="18">
        <f>C6*(1+D5)</f>
        <v>10099665243.485615</v>
      </c>
      <c r="E6" s="18">
        <f>D6*(1+E5)</f>
        <v>10602201153.581532</v>
      </c>
      <c r="F6" s="18">
        <f>E6*(1+F5)</f>
        <v>11085994434.25432</v>
      </c>
      <c r="G6" s="18">
        <f>F6*(1+G5)</f>
        <v>11546119962.691765</v>
      </c>
      <c r="H6" s="18">
        <f>G6*(1+H5)</f>
        <v>11977700532.71406</v>
      </c>
      <c r="I6" s="18">
        <f>H6*(1+I5)</f>
        <v>12375989737.867146</v>
      </c>
      <c r="J6" s="18">
        <f>I6*(1+J5)</f>
        <v>12736456280.005014</v>
      </c>
      <c r="K6" s="18">
        <f>J6*(1+K5)</f>
        <v>13054867687.005138</v>
      </c>
    </row>
    <row r="7" spans="1:11" x14ac:dyDescent="0.25">
      <c r="A7" t="s">
        <v>4</v>
      </c>
      <c r="B7" s="9">
        <f>Assumptions!B7</f>
        <v>0.16844878658462364</v>
      </c>
      <c r="C7" s="9">
        <f>Assumptions!B7</f>
        <v>0.16844878658462364</v>
      </c>
      <c r="D7" s="9">
        <f>Assumptions!B7</f>
        <v>0.16844878658462364</v>
      </c>
      <c r="E7" s="9">
        <f>Assumptions!B7</f>
        <v>0.16844878658462364</v>
      </c>
      <c r="F7" s="9">
        <f>Assumptions!B7</f>
        <v>0.16844878658462364</v>
      </c>
      <c r="G7" s="9">
        <f>Assumptions!B7</f>
        <v>0.16844878658462364</v>
      </c>
      <c r="H7" s="9">
        <f>Assumptions!B7</f>
        <v>0.16844878658462364</v>
      </c>
      <c r="I7" s="9">
        <f>Assumptions!B7</f>
        <v>0.16844878658462364</v>
      </c>
      <c r="J7" s="9">
        <f>Assumptions!B7</f>
        <v>0.16844878658462364</v>
      </c>
      <c r="K7" s="9">
        <f>Assumptions!B7</f>
        <v>0.16844878658462364</v>
      </c>
    </row>
    <row r="8" spans="1:11" x14ac:dyDescent="0.25">
      <c r="A8" t="s">
        <v>51</v>
      </c>
      <c r="B8" s="18">
        <f>B6*B7</f>
        <v>1525780993.0965521</v>
      </c>
      <c r="C8" s="18">
        <f>C6*C7</f>
        <v>1614291914.4524977</v>
      </c>
      <c r="D8" s="18">
        <f>D6*D7</f>
        <v>1701276355.1760492</v>
      </c>
      <c r="E8" s="18">
        <f>E6*E7</f>
        <v>1785927919.446906</v>
      </c>
      <c r="F8" s="18">
        <f>F6*F7</f>
        <v>1867422310.5340316</v>
      </c>
      <c r="G8" s="18">
        <f>G6*G7</f>
        <v>1944929897.4759278</v>
      </c>
      <c r="H8" s="18">
        <f>H6*H7</f>
        <v>2017629120.8096836</v>
      </c>
      <c r="I8" s="18">
        <f>I6*I7</f>
        <v>2084720454.127475</v>
      </c>
      <c r="J8" s="18">
        <f>J6*J7</f>
        <v>2145440605.7549543</v>
      </c>
      <c r="K8" s="18">
        <f>K6*K7</f>
        <v>2199076620.898828</v>
      </c>
    </row>
    <row r="9" spans="1:11" x14ac:dyDescent="0.25">
      <c r="A9" t="s">
        <v>52</v>
      </c>
      <c r="B9" s="18">
        <f>B8*(1-Assumptions!B8)</f>
        <v>1276228485.9069984</v>
      </c>
      <c r="C9" s="18">
        <f>C8*(1-Assumptions!B8)</f>
        <v>1350262806.4676974</v>
      </c>
      <c r="D9" s="18">
        <f>D8*(1-Assumptions!B8)</f>
        <v>1423020313.3342547</v>
      </c>
      <c r="E9" s="18">
        <f>E8*(1-Assumptions!B8)</f>
        <v>1493826502.5500476</v>
      </c>
      <c r="F9" s="18">
        <f>F8*(1-Assumptions!B8)</f>
        <v>1561991897.071025</v>
      </c>
      <c r="G9" s="18">
        <f>G8*(1-Assumptions!B8)</f>
        <v>1626822558.0746133</v>
      </c>
      <c r="H9" s="18">
        <f>H8*(1-Assumptions!B8)</f>
        <v>1687631298.0849056</v>
      </c>
      <c r="I9" s="18">
        <f>I8*(1-Assumptions!B8)</f>
        <v>1743749359.0157044</v>
      </c>
      <c r="J9" s="18">
        <f>J8*(1-Assumptions!B8)</f>
        <v>1794538291.0617843</v>
      </c>
      <c r="K9" s="18">
        <f>K8*(1-Assumptions!B8)</f>
        <v>1839401748.3383288</v>
      </c>
    </row>
    <row r="10" spans="1:11" x14ac:dyDescent="0.25">
      <c r="A10" t="s">
        <v>53</v>
      </c>
      <c r="B10" s="18">
        <f>B6*Assumptions!B9</f>
        <v>307293866.0416885</v>
      </c>
      <c r="C10" s="18">
        <f>C6*Assumptions!B9</f>
        <v>325120056.9127523</v>
      </c>
      <c r="D10" s="18">
        <f>D6*Assumptions!B9</f>
        <v>342638813.0096981</v>
      </c>
      <c r="E10" s="18">
        <f>E6*Assumptions!B9</f>
        <v>359687725.3824202</v>
      </c>
      <c r="F10" s="18">
        <f>F6*Assumptions!B9</f>
        <v>376100779.8189237</v>
      </c>
      <c r="G10" s="18">
        <f>G6*Assumptions!B9</f>
        <v>391710887.7876959</v>
      </c>
      <c r="H10" s="18">
        <f>H6*Assumptions!B9</f>
        <v>406352586.36536604</v>
      </c>
      <c r="I10" s="18">
        <f>I6*Assumptions!B9</f>
        <v>419864850.108588</v>
      </c>
      <c r="J10" s="18">
        <f>J6*Assumptions!B9</f>
        <v>432093951.28671813</v>
      </c>
      <c r="K10" s="18">
        <f>K6*Assumptions!B9</f>
        <v>442896300.06888604</v>
      </c>
    </row>
    <row r="11" spans="1:11" x14ac:dyDescent="0.25">
      <c r="A11" t="s">
        <v>54</v>
      </c>
      <c r="B11" s="18">
        <f>-B6*B19</f>
        <v>-193565285.3419154</v>
      </c>
      <c r="C11" s="18">
        <f>-C6*C19</f>
        <v>-224996137.67853495</v>
      </c>
      <c r="D11" s="18">
        <f>-D6*D19</f>
        <v>-258410472.50679556</v>
      </c>
      <c r="E11" s="18">
        <f>-E6*E19</f>
        <v>-293618403.4978748</v>
      </c>
      <c r="F11" s="18">
        <f>-F6*F19</f>
        <v>-330386510.6561487</v>
      </c>
      <c r="G11" s="18">
        <f>-G6*G19</f>
        <v>-368439100.7904412</v>
      </c>
      <c r="H11" s="18">
        <f>-H6*H19</f>
        <v>-407460581.0269399</v>
      </c>
      <c r="I11" s="18">
        <f>-I6*I19</f>
        <v>-447098958.124833</v>
      </c>
      <c r="J11" s="18">
        <f>-J6*J19</f>
        <v>-486970440.6274467</v>
      </c>
      <c r="K11" s="18">
        <f>-K6*K19</f>
        <v>-526665083.5392575</v>
      </c>
    </row>
    <row r="12" spans="1:11" x14ac:dyDescent="0.25">
      <c r="A12" t="s">
        <v>55</v>
      </c>
      <c r="B12" s="18">
        <f>-(B6-Assumptions!B29)*Assumptions!B11</f>
        <v>-192157778.47650102</v>
      </c>
      <c r="C12" s="18">
        <f>-(C6-B6)*Assumptions!B11</f>
        <v>-141050676.60142136</v>
      </c>
      <c r="D12" s="18">
        <f>-(D6-C6)*Assumptions!B11</f>
        <v>-138618082.71673864</v>
      </c>
      <c r="E12" s="18">
        <f>-(E6-D6)*Assumptions!B11</f>
        <v>-134900419.43813744</v>
      </c>
      <c r="F12" s="18">
        <f>-(F6-E6)*Assumptions!B11</f>
        <v>-129869159.9405406</v>
      </c>
      <c r="G12" s="18">
        <f>-(G6-F6)*Assumptions!B11</f>
        <v>-123515803.61403167</v>
      </c>
      <c r="H12" s="18">
        <f>-(H6-G6)*Assumptions!B11</f>
        <v>-115853213.1688774</v>
      </c>
      <c r="I12" s="18">
        <f>-(I6-H6)*Assumptions!B11</f>
        <v>-106916500.40009789</v>
      </c>
      <c r="J12" s="18">
        <f>-(J6-I6)*Assumptions!B11</f>
        <v>-96763408.84481734</v>
      </c>
      <c r="K12" s="18">
        <f>-(K6-J6)*Assumptions!B11</f>
        <v>-85474155.17033562</v>
      </c>
    </row>
    <row r="13" spans="1:11" x14ac:dyDescent="0.25">
      <c r="A13" s="19" t="s">
        <v>56</v>
      </c>
      <c r="B13" s="20">
        <f>B9+B10+B11+B12</f>
        <v>1197799288.1302705</v>
      </c>
      <c r="C13" s="20">
        <f>C9+C10+C11+C12</f>
        <v>1309336049.1004934</v>
      </c>
      <c r="D13" s="20">
        <f>D9+D10+D11+D12</f>
        <v>1368630571.1204185</v>
      </c>
      <c r="E13" s="20">
        <f>E9+E10+E11+E12</f>
        <v>1424995404.9964557</v>
      </c>
      <c r="F13" s="20">
        <f>F9+F10+F11+F12</f>
        <v>1477837006.2932594</v>
      </c>
      <c r="G13" s="20">
        <f>G9+G10+G11+G12</f>
        <v>1526578541.4578362</v>
      </c>
      <c r="H13" s="20">
        <f>H9+H10+H11+H12</f>
        <v>1570670090.2544544</v>
      </c>
      <c r="I13" s="20">
        <f>I9+I10+I11+I12</f>
        <v>1609598750.5993614</v>
      </c>
      <c r="J13" s="20">
        <f>J9+J10+J11+J12</f>
        <v>1642898392.876238</v>
      </c>
      <c r="K13" s="20">
        <f>K9+K10+K11+K12</f>
        <v>1670158809.697622</v>
      </c>
    </row>
    <row r="14" spans="1:11" x14ac:dyDescent="0.25">
      <c r="A14" t="s">
        <v>57</v>
      </c>
      <c r="B14" s="21">
        <f>1/(1+Assumptions!$B$26)^(1-0.5*Assumptions!$B$32)</f>
        <v>0.9529581919791269</v>
      </c>
      <c r="C14" s="21">
        <f>1/(1+Assumptions!$B$26)^(2-0.5*Assumptions!$B$32)</f>
        <v>0.8654092707347162</v>
      </c>
      <c r="D14" s="21">
        <f>1/(1+Assumptions!$B$26)^(3-0.5*Assumptions!$B$32)</f>
        <v>0.7859035287982472</v>
      </c>
      <c r="E14" s="21">
        <f>1/(1+Assumptions!$B$26)^(4-0.5*Assumptions!$B$32)</f>
        <v>0.7137020337824309</v>
      </c>
      <c r="F14" s="21">
        <f>1/(1+Assumptions!$B$26)^(5-0.5*Assumptions!$B$32)</f>
        <v>0.6481337395240795</v>
      </c>
      <c r="G14" s="21">
        <f>1/(1+Assumptions!$B$26)^(6-0.5*Assumptions!$B$32)</f>
        <v>0.5885892493302411</v>
      </c>
      <c r="H14" s="21">
        <f>1/(1+Assumptions!$B$26)^(7-0.5*Assumptions!$B$32)</f>
        <v>0.5345151521991796</v>
      </c>
      <c r="I14" s="21">
        <f>1/(1+Assumptions!$B$26)^(8-0.5*Assumptions!$B$32)</f>
        <v>0.4854088793766094</v>
      </c>
      <c r="J14" s="21">
        <f>1/(1+Assumptions!$B$26)^(9-0.5*Assumptions!$B$32)</f>
        <v>0.4408140334436293</v>
      </c>
      <c r="K14" s="21">
        <f>1/(1+Assumptions!$B$26)^(10-0.5*Assumptions!$B$32)</f>
        <v>0.4003161465245433</v>
      </c>
    </row>
    <row r="15" spans="1:11" x14ac:dyDescent="0.25">
      <c r="A15" s="19" t="s">
        <v>58</v>
      </c>
      <c r="B15" s="20">
        <f>B13*B14</f>
        <v>1141452643.9705079</v>
      </c>
      <c r="C15" s="20">
        <f>C13*C14</f>
        <v>1133111555.3987327</v>
      </c>
      <c r="D15" s="20">
        <f>D13*D14</f>
        <v>1075611595.4646974</v>
      </c>
      <c r="E15" s="20">
        <f>E13*E14</f>
        <v>1017022118.6765893</v>
      </c>
      <c r="F15" s="20">
        <f>F13*F14</f>
        <v>957836025.2959208</v>
      </c>
      <c r="G15" s="20">
        <f>G13*G14</f>
        <v>898527717.7603222</v>
      </c>
      <c r="H15" s="20">
        <f>H13*H14</f>
        <v>839546962.3470588</v>
      </c>
      <c r="I15" s="20">
        <f>I13*I14</f>
        <v>781313525.7744267</v>
      </c>
      <c r="J15" s="20">
        <f>J13*J14</f>
        <v>724212667.1018308</v>
      </c>
      <c r="K15" s="20">
        <f>K13*K14</f>
        <v>668591538.78217</v>
      </c>
    </row>
    <row r="17" spans="1:2" x14ac:dyDescent="0.25">
      <c r="A17" s="22" t="s">
        <v>59</v>
      </c>
      <c r="B17" s="23">
        <f>SUM(B15:K15)</f>
        <v>9237226350.572256</v>
      </c>
    </row>
    <row r="19" spans="1:11" x14ac:dyDescent="0.25">
      <c r="A19" t="s">
        <v>7</v>
      </c>
      <c r="B19" s="9">
        <f>Assumptions!$B$10+($B$20-Assumptions!$B$10)*0/9</f>
        <v>0.0213699328988094</v>
      </c>
      <c r="C19" s="9">
        <f>Assumptions!$B$10+($B$20-Assumptions!$B$10)*1/9</f>
        <v>0.02347798811284413</v>
      </c>
      <c r="D19" s="9">
        <f>Assumptions!$B$10+($B$20-Assumptions!$B$10)*2/9</f>
        <v>0.025586043326878867</v>
      </c>
      <c r="E19" s="9">
        <f>Assumptions!$B$10+($B$20-Assumptions!$B$10)*3/9</f>
        <v>0.0276940985409136</v>
      </c>
      <c r="F19" s="9">
        <f>Assumptions!$B$10+($B$20-Assumptions!$B$10)*4/9</f>
        <v>0.02980215375494833</v>
      </c>
      <c r="G19" s="9">
        <f>Assumptions!$B$10+($B$20-Assumptions!$B$10)*5/9</f>
        <v>0.03191020896898307</v>
      </c>
      <c r="H19" s="9">
        <f>Assumptions!$B$10+($B$20-Assumptions!$B$10)*6/9</f>
        <v>0.0340182641830178</v>
      </c>
      <c r="I19" s="9">
        <f>Assumptions!$B$10+($B$20-Assumptions!$B$10)*7/9</f>
        <v>0.036126319397052534</v>
      </c>
      <c r="J19" s="9">
        <f>Assumptions!$B$10+($B$20-Assumptions!$B$10)*8/9</f>
        <v>0.038234374611087266</v>
      </c>
      <c r="K19" s="9">
        <f>Assumptions!$B$10+($B$20-Assumptions!$B$10)*9/9</f>
        <v>0.040342429825122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0.040342429825122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1670158809.697622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2014810532.9435375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0.1456597682922315</v>
      </c>
    </row>
    <row r="7" spans="1:2" x14ac:dyDescent="0.25">
      <c r="A7" t="s">
        <v>66</v>
      </c>
      <c r="B7" s="18">
        <f>-MAX(B5,0)*B6</f>
        <v>-293476835.38130313</v>
      </c>
    </row>
    <row r="8" spans="1:2" x14ac:dyDescent="0.25">
      <c r="A8" t="s">
        <v>67</v>
      </c>
      <c r="B8" s="18">
        <f>IF(OR(Assumptions!$B$33=0,Assumptions!B12&lt;=0),B5,MAX(B5+B7,0))</f>
        <v>1721333697.5622344</v>
      </c>
    </row>
    <row r="9" spans="1:2" x14ac:dyDescent="0.25">
      <c r="A9" t="s">
        <v>68</v>
      </c>
      <c r="B9" s="18">
        <f>B8*(1+Assumptions!B12)/(Assumptions!B26-Assumptions!B12)</f>
        <v>23165136188.45227</v>
      </c>
    </row>
    <row r="10" spans="1:2" x14ac:dyDescent="0.25">
      <c r="A10" t="s">
        <v>69</v>
      </c>
      <c r="B10" s="18">
        <f>B9/(1+Assumptions!B26)^(10-0.5*Assumptions!B32)</f>
        <v>9273378052.67746</v>
      </c>
    </row>
    <row r="11" spans="1:2" x14ac:dyDescent="0.25">
      <c r="A11" t="s">
        <v>70</v>
      </c>
      <c r="B11" s="18">
        <f>Forecast!B17+B10</f>
        <v>18510604403.249718</v>
      </c>
    </row>
    <row r="12" spans="1:2" x14ac:dyDescent="0.25">
      <c r="A12" t="s">
        <v>71</v>
      </c>
      <c r="B12" s="18">
        <f>-Assumptions!B30</f>
        <v>-3179000000</v>
      </c>
    </row>
    <row r="13" spans="1:2" x14ac:dyDescent="0.25">
      <c r="A13" t="s">
        <v>72</v>
      </c>
      <c r="B13" s="18">
        <f>B11+B12</f>
        <v>15331604403.249718</v>
      </c>
    </row>
    <row r="14" spans="1:2" x14ac:dyDescent="0.25">
      <c r="A14" s="19" t="s">
        <v>73</v>
      </c>
      <c r="B14" s="24">
        <f>B13/Assumptions!B31</f>
        <v>135.55795228337504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2641972920.9677143</v>
      </c>
    </row>
    <row r="18" spans="1:2" x14ac:dyDescent="0.25">
      <c r="A18" t="s">
        <v>68</v>
      </c>
      <c r="B18" s="18">
        <f>B17*Assumptions!B13</f>
        <v>52839458419.35429</v>
      </c>
    </row>
    <row r="19" spans="1:2" x14ac:dyDescent="0.25">
      <c r="A19" t="s">
        <v>69</v>
      </c>
      <c r="B19" s="18">
        <f>B18/(1+Assumptions!B26)^(10-0.5*Assumptions!B32)</f>
        <v>21152488378.87974</v>
      </c>
    </row>
    <row r="20" spans="1:2" x14ac:dyDescent="0.25">
      <c r="A20" t="s">
        <v>70</v>
      </c>
      <c r="B20" s="18">
        <f>Forecast!B17+B19</f>
        <v>30389714729.451996</v>
      </c>
    </row>
    <row r="21" spans="1:2" x14ac:dyDescent="0.25">
      <c r="A21" t="s">
        <v>71</v>
      </c>
      <c r="B21" s="18">
        <f>-Assumptions!B30</f>
        <v>-3179000000</v>
      </c>
    </row>
    <row r="22" spans="1:2" x14ac:dyDescent="0.25">
      <c r="A22" t="s">
        <v>72</v>
      </c>
      <c r="B22" s="18">
        <f>B20+B21</f>
        <v>27210714729.451996</v>
      </c>
    </row>
    <row r="23" spans="1:2" x14ac:dyDescent="0.25">
      <c r="A23" s="19" t="s">
        <v>73</v>
      </c>
      <c r="B23" s="25">
        <f>B22/Assumptions!B31</f>
        <v>240.58987382362508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436.2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135.55795228337504</v>
      </c>
    </row>
    <row r="29" spans="1:2" x14ac:dyDescent="0.25">
      <c r="A29" s="19" t="s">
        <v>81</v>
      </c>
      <c r="B29" s="11">
        <f>B28/B26-1</f>
        <v>-0.6892298205332988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0.081165</v>
      </c>
      <c r="B5" s="31">
        <v>182.34934362755806</v>
      </c>
      <c r="C5" s="31">
        <v>187.16757221575102</v>
      </c>
      <c r="D5" s="31">
        <v>193.0498374250815</v>
      </c>
      <c r="E5" s="31">
        <v>200.30808197649287</v>
      </c>
      <c r="F5" s="31">
        <v>209.3893911105615</v>
      </c>
    </row>
    <row r="6" spans="1:6" x14ac:dyDescent="0.25">
      <c r="A6" s="30">
        <v>0.091165</v>
      </c>
      <c r="B6" s="31">
        <v>154.24439270589139</v>
      </c>
      <c r="C6" s="31">
        <v>156.81866082880788</v>
      </c>
      <c r="D6" s="31">
        <v>159.9476117842502</v>
      </c>
      <c r="E6" s="31">
        <v>163.76727504148826</v>
      </c>
      <c r="F6" s="31">
        <v>168.46211930036955</v>
      </c>
    </row>
    <row r="7" spans="1:6" x14ac:dyDescent="0.25">
      <c r="A7" s="30">
        <v>0.101165</v>
      </c>
      <c r="B7" s="31">
        <v>132.72034372549675</v>
      </c>
      <c r="C7" s="31">
        <v>133.98757208437866</v>
      </c>
      <c r="D7" s="32">
        <v>135.55744416290472</v>
      </c>
      <c r="E7" s="31">
        <v>137.49375052939746</v>
      </c>
      <c r="F7" s="31">
        <v>139.8795640217544</v>
      </c>
    </row>
    <row r="8" spans="1:6" x14ac:dyDescent="0.25">
      <c r="A8" s="30">
        <v>0.111165</v>
      </c>
      <c r="B8" s="31">
        <v>115.72004902215585</v>
      </c>
      <c r="C8" s="31">
        <v>116.19742564646464</v>
      </c>
      <c r="D8" s="31">
        <v>116.84438121220252</v>
      </c>
      <c r="E8" s="31">
        <v>117.6922553869779</v>
      </c>
      <c r="F8" s="31">
        <v>118.78061725285691</v>
      </c>
    </row>
    <row r="9" spans="1:6" x14ac:dyDescent="0.25">
      <c r="A9" s="30">
        <v>0.121165</v>
      </c>
      <c r="B9" s="31">
        <v>101.96178101621501</v>
      </c>
      <c r="C9" s="31">
        <v>101.95093718077676</v>
      </c>
      <c r="D9" s="31">
        <v>102.03601932598414</v>
      </c>
      <c r="E9" s="31">
        <v>102.23281080849473</v>
      </c>
      <c r="F9" s="31">
        <v>102.56075850418091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8342000000</v>
      </c>
      <c r="C5" s="18">
        <v>8264000000</v>
      </c>
      <c r="D5" s="18">
        <v>9058000000</v>
      </c>
      <c r="E5" s="18">
        <v>7760400000</v>
      </c>
      <c r="F5" s="6" t="s">
        <v>91</v>
      </c>
    </row>
    <row r="6" spans="1:6" x14ac:dyDescent="0.25">
      <c r="A6" t="s">
        <v>51</v>
      </c>
      <c r="B6" s="18">
        <v>1423000000</v>
      </c>
      <c r="C6" s="18">
        <v>1192000000</v>
      </c>
      <c r="D6" s="18">
        <v>1693000000</v>
      </c>
      <c r="E6" s="18">
        <v>1335300000</v>
      </c>
      <c r="F6" s="6" t="s">
        <v>92</v>
      </c>
    </row>
    <row r="7" spans="1:6" x14ac:dyDescent="0.25">
      <c r="A7" t="s">
        <v>93</v>
      </c>
      <c r="B7" s="18">
        <v>325000000</v>
      </c>
      <c r="C7" s="18">
        <v>317000000</v>
      </c>
      <c r="D7" s="18">
        <v>250000000</v>
      </c>
      <c r="E7" s="18">
        <v>238900000</v>
      </c>
      <c r="F7" s="6" t="s">
        <v>94</v>
      </c>
    </row>
    <row r="8" spans="1:6" x14ac:dyDescent="0.25">
      <c r="A8" t="s">
        <v>95</v>
      </c>
      <c r="B8" s="18">
        <v>186000000</v>
      </c>
      <c r="C8" s="18">
        <v>225000000</v>
      </c>
      <c r="D8" s="18">
        <v>161000000</v>
      </c>
      <c r="E8" s="18">
        <v>141100000</v>
      </c>
      <c r="F8" s="6" t="s">
        <v>96</v>
      </c>
    </row>
    <row r="9" spans="1:6" x14ac:dyDescent="0.25">
      <c r="A9" t="s">
        <v>97</v>
      </c>
      <c r="B9" s="18">
        <v>-213000000</v>
      </c>
      <c r="C9" s="18">
        <v>424000000</v>
      </c>
      <c r="D9" s="18">
        <v>122000000</v>
      </c>
      <c r="E9" s="18">
        <v>529700000</v>
      </c>
      <c r="F9" s="6" t="s">
        <v>98</v>
      </c>
    </row>
    <row r="10" spans="1:6" x14ac:dyDescent="0.25">
      <c r="A10" t="s">
        <v>99</v>
      </c>
      <c r="B10" s="18">
        <v>3647000000</v>
      </c>
      <c r="C10" s="18">
        <v>4085000000</v>
      </c>
      <c r="D10" s="18">
        <v>3334900000</v>
      </c>
      <c r="E10" s="18">
        <v>4183000000</v>
      </c>
      <c r="F10" s="6" t="s">
        <v>100</v>
      </c>
    </row>
    <row r="11" spans="1:6" x14ac:dyDescent="0.25">
      <c r="A11" t="s">
        <v>101</v>
      </c>
      <c r="B11" s="18">
        <v>468000000</v>
      </c>
      <c r="C11" s="18">
        <v>471000000</v>
      </c>
      <c r="D11" s="18">
        <v>1071800000</v>
      </c>
      <c r="E11" s="18">
        <v>490700000</v>
      </c>
      <c r="F11" s="6" t="s">
        <v>102</v>
      </c>
    </row>
    <row r="12" spans="1:6" x14ac:dyDescent="0.25">
      <c r="A12" t="s">
        <v>34</v>
      </c>
      <c r="B12" s="34">
        <v>113100000</v>
      </c>
      <c r="C12" s="34">
        <v>114500000</v>
      </c>
      <c r="D12" s="34">
        <v>115600000</v>
      </c>
      <c r="E12" s="34">
        <v>116700000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