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<sst xmlns="http://schemas.openxmlformats.org/spreadsheetml/2006/main" count="112" uniqueCount="100">
  <si>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Rockwell Automation, Inc. (ROK)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</si>
  <si>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</si>
  <si>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</si>
  <si>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</si>
  <si>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</si>
  <si>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</si>
  <si>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</si>
  <si>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</si>
  <si>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</si>
  <si>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</si>
  <si>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</si>
  <si>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</si>
  <si>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</si>
  <si>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</si>
  <si>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</si>
  <si>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</si>
  <si>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</si>
  <si>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</si>
  <si>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</si>
  <si>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</si>
  <si>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</si>
  <si>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</si>
  <si>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</si>
  <si>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</si>
  <si>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</si>
  <si>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</si>
  <si>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</si>
  <si>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</si>
  <si>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</si>
  <si>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</si>
  <si>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</si>
  <si>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</si>
  <si>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</si>
  <si>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</si>
  <si>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</si>
  <si>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</si>
  <si>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</si>
  <si>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</si>
  <si>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</si>
  <si>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</si>
  <si>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</si>
  <si>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</si>
  <si>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</si>
  <si>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</si>
  <si>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</si>
  <si>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</si>
  <si>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</si>
  <si>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</si>
  <si>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</si>
  <si>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</si>
  <si>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</si>
  <si>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</si>
  <si>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</si>
  <si>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</si>
  <si>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</si>
  <si>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</si>
  <si>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</si>
  <si>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</si>
  <si>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</si>
  <si>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</si>
  <si>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</si>
  <si>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</si>
  <si>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</si>
  <si>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</si>
  <si>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</si>
  <si>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</si>
  <si>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</si>
  <si>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</si>
  <si>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</si>
  <si>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</si>
  <si>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</si>
  <si>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</si>
  <si>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</si>
  <si>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</si>
  <si>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</si>
  <si>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</si>
  <si>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</si>
  <si>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</si>
  <si>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</si>
  <si>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</si>
  <si>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</si>
  <si>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</si>
  <si>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</si>
  <si>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</si>
  <si>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</si>
  <si>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</si>
  <si>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</si>
  <si>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</si>
  <si>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</si>
  <si>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</si>
  <si>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</si>
  <si>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</si>
  <si>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</si>
  <si>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</si>
  <si>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</si>
  <si>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</si>
  <si>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</si>
  <si>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</si>
  <si>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28.3x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</si>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</sst>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0.02438220649270817</v>
      </c>
    </row>
    <row r="7" spans="1:2" x14ac:dyDescent="0.25">
      <c r="A7" t="s">
        <v>5</v>
      </c>
      <c r="B7" s="6">
        <v>0.16844878658462364</v>
      </c>
    </row>
    <row r="8" spans="1:2" x14ac:dyDescent="0.25">
      <c r="A8" t="s">
        <v>6</v>
      </c>
      <c r="B8" s="6">
        <v>0.16355722631141853</v>
      </c>
    </row>
    <row r="9" spans="1:2" x14ac:dyDescent="0.25">
      <c r="A9" t="s">
        <v>7</v>
      </c>
      <c r="B9" s="6">
        <v>0.0339257593939268</v>
      </c>
    </row>
    <row r="10" spans="1:2" x14ac:dyDescent="0.25">
      <c r="A10" t="s">
        <v>8</v>
      </c>
      <c r="B10" s="6">
        <v>0.0213699328988094</v>
      </c>
    </row>
    <row r="11" spans="1:2" x14ac:dyDescent="0.25">
      <c r="A11" t="s">
        <v>9</v>
      </c>
      <c r="B11" s="6">
        <v>-0.5340050377833753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0.17163284202020337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1.34505</v>
      </c>
      <c r="C19" s="8" t="s">
        <v>19</v>
      </c>
    </row>
    <row r="20" spans="1:2" x14ac:dyDescent="0.25">
      <c r="A20" t="s">
        <v>20</v>
      </c>
      <c r="B20" s="10">
        <f>B17+B19*B18</f>
        <v>0.12395775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46247677952</v>
      </c>
    </row>
    <row r="23" spans="1:2" x14ac:dyDescent="0.25">
      <c r="A23" t="s">
        <v>24</v>
      </c>
      <c r="B23" s="11">
        <v>3647000000</v>
      </c>
    </row>
    <row r="24" spans="1:2" x14ac:dyDescent="0.25">
      <c r="A24" t="s">
        <v>25</v>
      </c>
      <c r="B24" s="10">
        <f>B22/(B22+B23)</f>
        <v>0.9269060318716054</v>
      </c>
    </row>
    <row r="25" spans="1:2" x14ac:dyDescent="0.25">
      <c r="A25" t="s">
        <v>26</v>
      </c>
      <c r="B25" s="10">
        <f>1-B24</f>
        <v>0.07309396812839464</v>
      </c>
    </row>
    <row r="26" spans="1:2" x14ac:dyDescent="0.25">
      <c r="A26" t="s">
        <v>27</v>
      </c>
      <c r="B26" s="12">
        <f>B24*B20+B25*B21*(1-B8)</f>
        <v>0.11795290946586462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8342000000</v>
      </c>
      <c r="C29" s="8" t="s">
        <v>30</v>
      </c>
    </row>
    <row r="30" spans="1:2" x14ac:dyDescent="0.25">
      <c r="A30" t="s">
        <v>31</v>
      </c>
      <c r="B30" s="11">
        <v>3179000000</v>
      </c>
    </row>
    <row r="31" spans="1:2" x14ac:dyDescent="0.25">
      <c r="A31" t="s">
        <v>32</v>
      </c>
      <c r="B31" s="13">
        <v>113100000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0.02438220649270817</v>
      </c>
      <c r="C5" s="10">
        <f>Assumptions!B6</f>
        <v>0.02438220649270817</v>
      </c>
      <c r="D5" s="10">
        <f>Assumptions!B6</f>
        <v>0.02438220649270817</v>
      </c>
      <c r="E5" s="10">
        <f>Assumptions!B6</f>
        <v>0.02438220649270817</v>
      </c>
      <c r="F5" s="10">
        <f>Assumptions!B6</f>
        <v>0.02438220649270817</v>
      </c>
    </row>
    <row r="6" spans="1:6" x14ac:dyDescent="0.25">
      <c r="A6" t="s">
        <v>43</v>
      </c>
      <c r="B6" s="18">
        <f>Assumptions!B29*(1+B5)</f>
        <v>8545396366.562172</v>
      </c>
      <c r="C6" s="18">
        <f>B6*(1+C5)</f>
        <v>8753751985.333729</v>
      </c>
      <c r="D6" s="18">
        <f>C6*(1+D5)</f>
        <v>8967187773.82609</v>
      </c>
      <c r="E6" s="18">
        <f>D6*(1+E5)</f>
        <v>9185827597.786406</v>
      </c>
      <c r="F6" s="18">
        <f>E6*(1+F5)</f>
        <v>9409798343.08205</v>
      </c>
    </row>
    <row r="7" spans="1:6" x14ac:dyDescent="0.25">
      <c r="A7" t="s">
        <v>5</v>
      </c>
      <c r="B7" s="10">
        <f>Assumptions!B7</f>
        <v>0.16844878658462364</v>
      </c>
      <c r="C7" s="10">
        <f>Assumptions!B7</f>
        <v>0.16844878658462364</v>
      </c>
      <c r="D7" s="10">
        <f>Assumptions!B7</f>
        <v>0.16844878658462364</v>
      </c>
      <c r="E7" s="10">
        <f>Assumptions!B7</f>
        <v>0.16844878658462364</v>
      </c>
      <c r="F7" s="10">
        <f>Assumptions!B7</f>
        <v>0.16844878658462364</v>
      </c>
    </row>
    <row r="8" spans="1:6" x14ac:dyDescent="0.25">
      <c r="A8" t="s">
        <v>44</v>
      </c>
      <c r="B8" s="18">
        <f>B6*B7</f>
        <v>1439461648.8320496</v>
      </c>
      <c r="C8" s="18">
        <f>C6*C7</f>
        <v>1474558899.9922068</v>
      </c>
      <c r="D8" s="18">
        <f>D6*D7</f>
        <v>1510511899.5774775</v>
      </c>
      <c r="E8" s="18">
        <f>E6*E7</f>
        <v>1547341512.6226683</v>
      </c>
      <c r="F8" s="18">
        <f>F6*F7</f>
        <v>1585069112.8981736</v>
      </c>
    </row>
    <row r="9" spans="1:6" x14ac:dyDescent="0.25">
      <c r="A9" t="s">
        <v>45</v>
      </c>
      <c r="B9" s="18">
        <f>B8*(1-Assumptions!B8)</f>
        <v>1204027294.1674185</v>
      </c>
      <c r="C9" s="18">
        <f>C8*(1-Assumptions!B8)</f>
        <v>1233384136.276665</v>
      </c>
      <c r="D9" s="18">
        <f>D8*(1-Assumptions!B8)</f>
        <v>1263456762.9721932</v>
      </c>
      <c r="E9" s="18">
        <f>E8*(1-Assumptions!B8)</f>
        <v>1294262626.6615899</v>
      </c>
      <c r="F9" s="18">
        <f>F8*(1-Assumptions!B8)</f>
        <v>1325819605.2806475</v>
      </c>
    </row>
    <row r="10" spans="1:6" x14ac:dyDescent="0.25">
      <c r="A10" t="s">
        <v>46</v>
      </c>
      <c r="B10" s="18">
        <f>B6*Assumptions!B9</f>
        <v>289909061.05772454</v>
      </c>
      <c r="C10" s="18">
        <f>C6*Assumptions!B9</f>
        <v>296977683.64854115</v>
      </c>
      <c r="D10" s="18">
        <f>D6*Assumptions!B9</f>
        <v>304218654.854986</v>
      </c>
      <c r="E10" s="18">
        <f>E6*Assumptions!B9</f>
        <v>311636176.9165942</v>
      </c>
      <c r="F10" s="18">
        <f>F6*Assumptions!B9</f>
        <v>319234554.5327727</v>
      </c>
    </row>
    <row r="11" spans="1:6" x14ac:dyDescent="0.25">
      <c r="A11" t="s">
        <v>47</v>
      </c>
      <c r="B11" s="18">
        <f>-B6*Assumptions!B10</f>
        <v>-182614546.94716325</v>
      </c>
      <c r="C11" s="18">
        <f>-C6*Assumptions!B10</f>
        <v>-187067092.53940135</v>
      </c>
      <c r="D11" s="18">
        <f>-D6*Assumptions!B10</f>
        <v>-191628201.0176876</v>
      </c>
      <c r="E11" s="18">
        <f>-E6*Assumptions!B10</f>
        <v>-196300519.38472703</v>
      </c>
      <c r="F11" s="18">
        <f>-F6*Assumptions!B10</f>
        <v>-201086759.1829913</v>
      </c>
    </row>
    <row r="12" spans="1:6" x14ac:dyDescent="0.25">
      <c r="A12" t="s">
        <v>48</v>
      </c>
      <c r="B12" s="18">
        <f>-(B6-Assumptions!B29)*Assumptions!B11</f>
        <v>108614684.41103387</v>
      </c>
      <c r="C12" s="18">
        <f>-(C6-B6)*Assumptions!B11</f>
        <v>111262950.07448375</v>
      </c>
      <c r="D12" s="18">
        <f>-(D6-C6)*Assumptions!B11</f>
        <v>113975786.29818776</v>
      </c>
      <c r="E12" s="18">
        <f>-(E6-D6)*Assumptions!B11</f>
        <v>116754767.45487891</v>
      </c>
      <c r="F12" s="18">
        <f>-(F6-E6)*Assumptions!B11</f>
        <v>119601506.3039715</v>
      </c>
    </row>
    <row r="13" spans="1:6" x14ac:dyDescent="0.25">
      <c r="A13" s="19" t="s">
        <v>49</v>
      </c>
      <c r="B13" s="20">
        <f>B9+B10+B11+B12</f>
        <v>1419936492.6890135</v>
      </c>
      <c r="C13" s="20">
        <f>C9+C10+C11+C12</f>
        <v>1454557677.4602885</v>
      </c>
      <c r="D13" s="20">
        <f>D9+D10+D11+D12</f>
        <v>1490023003.1076794</v>
      </c>
      <c r="E13" s="20">
        <f>E9+E10+E11+E12</f>
        <v>1526353051.648336</v>
      </c>
      <c r="F13" s="20">
        <f>F9+F10+F11+F12</f>
        <v>1563568906.9344006</v>
      </c>
    </row>
    <row r="14" spans="1:6" x14ac:dyDescent="0.25">
      <c r="A14" t="s">
        <v>50</v>
      </c>
      <c r="B14" s="21">
        <f>1/(1+Assumptions!$B$26)^(1-0.5*Assumptions!$B$32)</f>
        <v>0.9457759032304353</v>
      </c>
      <c r="C14" s="21">
        <f>1/(1+Assumptions!$B$26)^(2-0.5*Assumptions!$B$32)</f>
        <v>0.8459890351574002</v>
      </c>
      <c r="D14" s="21">
        <f>1/(1+Assumptions!$B$26)^(3-0.5*Assumptions!$B$32)</f>
        <v>0.7567304740604832</v>
      </c>
      <c r="E14" s="21">
        <f>1/(1+Assumptions!$B$26)^(4-0.5*Assumptions!$B$32)</f>
        <v>0.6768893999498009</v>
      </c>
      <c r="F14" s="21">
        <f>1/(1+Assumptions!$B$26)^(5-0.5*Assumptions!$B$32)</f>
        <v>0.6054721931652782</v>
      </c>
    </row>
    <row r="15" spans="1:6" x14ac:dyDescent="0.25">
      <c r="A15" s="19" t="s">
        <v>51</v>
      </c>
      <c r="B15" s="20">
        <f>B13*B14</f>
        <v>1342941718.902808</v>
      </c>
      <c r="C15" s="20">
        <f>C13*C14</f>
        <v>1230539846.1354184</v>
      </c>
      <c r="D15" s="20">
        <f>D13*D14</f>
        <v>1127545813.5026991</v>
      </c>
      <c r="E15" s="20">
        <f>E13*E14</f>
        <v>1033172201.2417896</v>
      </c>
      <c r="F15" s="20">
        <f>F13*F14</f>
        <v>946697495.2466083</v>
      </c>
    </row>
    <row r="17" spans="1:2" x14ac:dyDescent="0.25">
      <c r="A17" s="22" t="s">
        <v>52</v>
      </c>
      <c r="B17" s="23">
        <f>SUM(B15:F15)</f>
        <v>5680897075.029324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1563568906.9344006</v>
      </c>
    </row>
    <row r="5" spans="1:2" x14ac:dyDescent="0.25">
      <c r="A5" t="s">
        <v>56</v>
      </c>
      <c r="B5" s="18">
        <f>IF(Assumptions!$B$33=0,B4,B4-Forecast!F11-Forecast!F10-Forecast!F12)</f>
        <v>1452252237.944026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0.1456597682922315</v>
      </c>
    </row>
    <row r="7" spans="1:2" x14ac:dyDescent="0.25">
      <c r="A7" t="s">
        <v>58</v>
      </c>
      <c r="B7" s="18">
        <f>-MAX(Forecast!F9,0)*B6</f>
        <v>-211534724.4808015</v>
      </c>
    </row>
    <row r="8" spans="1:2" x14ac:dyDescent="0.25">
      <c r="A8" t="s">
        <v>59</v>
      </c>
      <c r="B8" s="18">
        <f>IF(OR(Assumptions!$B$33=0,Assumptions!B12&lt;=0),B5,MAX(B5+B7,0))</f>
        <v>1240717513.4632244</v>
      </c>
    </row>
    <row r="9" spans="1:2" x14ac:dyDescent="0.25">
      <c r="A9" t="s">
        <v>60</v>
      </c>
      <c r="B9" s="18">
        <f>B8*(1+Assumptions!B12)/(Assumptions!B26-Assumptions!B12)</f>
        <v>13681502371.551136</v>
      </c>
    </row>
    <row r="10" spans="1:2" x14ac:dyDescent="0.25">
      <c r="A10" t="s">
        <v>61</v>
      </c>
      <c r="B10" s="18">
        <f>B9/(1+Assumptions!B26)^(5-0.5*Assumptions!B32)</f>
        <v>8283769246.699021</v>
      </c>
    </row>
    <row r="11" spans="1:2" x14ac:dyDescent="0.25">
      <c r="A11" t="s">
        <v>62</v>
      </c>
      <c r="B11" s="18">
        <f>Forecast!B17+B10</f>
        <v>13964666321.728344</v>
      </c>
    </row>
    <row r="12" spans="1:2" x14ac:dyDescent="0.25">
      <c r="A12" t="s">
        <v>63</v>
      </c>
      <c r="B12" s="18">
        <f>-Assumptions!B30</f>
        <v>-3179000000</v>
      </c>
    </row>
    <row r="13" spans="1:2" x14ac:dyDescent="0.25">
      <c r="A13" t="s">
        <v>64</v>
      </c>
      <c r="B13" s="18">
        <f>B11+B12</f>
        <v>10785666321.728344</v>
      </c>
    </row>
    <row r="14" spans="1:2" x14ac:dyDescent="0.25">
      <c r="A14" s="19" t="s">
        <v>65</v>
      </c>
      <c r="B14" s="24">
        <f>B13/Assumptions!B31</f>
        <v>95.36398162447696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1904303667.4309464</v>
      </c>
    </row>
    <row r="18" spans="1:2" x14ac:dyDescent="0.25">
      <c r="A18" t="s">
        <v>60</v>
      </c>
      <c r="B18" s="18">
        <f>B17*Assumptions!B13</f>
        <v>38086073348.61893</v>
      </c>
    </row>
    <row r="19" spans="1:2" x14ac:dyDescent="0.25">
      <c r="A19" t="s">
        <v>61</v>
      </c>
      <c r="B19" s="18">
        <f>B18/(1+Assumptions!B26)^(5-0.5*Assumptions!B32)</f>
        <v>23060058359.441956</v>
      </c>
    </row>
    <row r="20" spans="1:2" x14ac:dyDescent="0.25">
      <c r="A20" t="s">
        <v>62</v>
      </c>
      <c r="B20" s="18">
        <f>Forecast!B17+B19</f>
        <v>28740955434.47128</v>
      </c>
    </row>
    <row r="21" spans="1:2" x14ac:dyDescent="0.25">
      <c r="A21" t="s">
        <v>63</v>
      </c>
      <c r="B21" s="18">
        <f>-Assumptions!B30</f>
        <v>-3179000000</v>
      </c>
    </row>
    <row r="22" spans="1:2" x14ac:dyDescent="0.25">
      <c r="A22" t="s">
        <v>64</v>
      </c>
      <c r="B22" s="18">
        <f>B20+B21</f>
        <v>25561955434.47128</v>
      </c>
    </row>
    <row r="23" spans="1:2" x14ac:dyDescent="0.25">
      <c r="A23" s="19" t="s">
        <v>65</v>
      </c>
      <c r="B23" s="25">
        <f>B22/Assumptions!B31</f>
        <v>226.01198438966648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415.62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95.36398162447696</v>
      </c>
    </row>
    <row r="29" spans="1:2" x14ac:dyDescent="0.25">
      <c r="A29" s="19" t="s">
        <v>73</v>
      </c>
      <c r="B29" s="12">
        <f>B28/B26-1</f>
        <v>-0.7705500658667125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0.097953</v>
      </c>
      <c r="B5" s="31">
        <v>118.4522777695478</v>
      </c>
      <c r="C5" s="31">
        <v>121.77112281640377</v>
      </c>
      <c r="D5" s="31">
        <v>125.51122428621244</v>
      </c>
      <c r="E5" s="31">
        <v>129.76557066137033</v>
      </c>
      <c r="F5" s="31">
        <v>134.65669261682916</v>
      </c>
    </row>
    <row r="6" spans="1:6" x14ac:dyDescent="0.25">
      <c r="A6" s="30">
        <v>0.107953</v>
      </c>
      <c r="B6" s="31">
        <v>103.85708970794445</v>
      </c>
      <c r="C6" s="31">
        <v>106.12814620840324</v>
      </c>
      <c r="D6" s="31">
        <v>108.64454939124336</v>
      </c>
      <c r="E6" s="31">
        <v>111.45350975812252</v>
      </c>
      <c r="F6" s="31">
        <v>114.61518052769638</v>
      </c>
    </row>
    <row r="7" spans="1:6" x14ac:dyDescent="0.25">
      <c r="A7" s="30">
        <v>0.117953</v>
      </c>
      <c r="B7" s="31">
        <v>92.07033057104964</v>
      </c>
      <c r="C7" s="31">
        <v>93.64460407003023</v>
      </c>
      <c r="D7" s="32">
        <v>95.36387413611992</v>
      </c>
      <c r="E7" s="31">
        <v>97.25286930054142</v>
      </c>
      <c r="F7" s="31">
        <v>99.34228015284522</v>
      </c>
    </row>
    <row r="8" spans="1:6" x14ac:dyDescent="0.25">
      <c r="A8" s="30">
        <v>0.127953</v>
      </c>
      <c r="B8" s="31">
        <v>82.34740456958015</v>
      </c>
      <c r="C8" s="31">
        <v>83.44417754814111</v>
      </c>
      <c r="D8" s="31">
        <v>84.62634703504321</v>
      </c>
      <c r="E8" s="31">
        <v>85.90699019612234</v>
      </c>
      <c r="F8" s="31">
        <v>87.30199791292775</v>
      </c>
    </row>
    <row r="9" spans="1:6" x14ac:dyDescent="0.25">
      <c r="A9" s="30">
        <v>0.137953</v>
      </c>
      <c r="B9" s="31">
        <v>74.18587531028376</v>
      </c>
      <c r="C9" s="31">
        <v>74.94762420226424</v>
      </c>
      <c r="D9" s="31">
        <v>75.75829891013164</v>
      </c>
      <c r="E9" s="31">
        <v>76.62469764457312</v>
      </c>
      <c r="F9" s="31">
        <v>77.5549392598096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8342000000</v>
      </c>
      <c r="C5" s="18">
        <v>8264000000</v>
      </c>
      <c r="D5" s="18">
        <v>9058000000</v>
      </c>
      <c r="E5" s="18">
        <v>7760400000</v>
      </c>
      <c r="F5" s="8" t="s">
        <v>84</v>
      </c>
    </row>
    <row r="6" spans="1:6" x14ac:dyDescent="0.25">
      <c r="A6" t="s">
        <v>44</v>
      </c>
      <c r="B6" s="18">
        <v>1423000000</v>
      </c>
      <c r="C6" s="18">
        <v>1192000000</v>
      </c>
      <c r="D6" s="18">
        <v>1693000000</v>
      </c>
      <c r="E6" s="18">
        <v>1335300000</v>
      </c>
      <c r="F6" s="8" t="s">
        <v>85</v>
      </c>
    </row>
    <row r="7" spans="1:6" x14ac:dyDescent="0.25">
      <c r="A7" t="s">
        <v>86</v>
      </c>
      <c r="B7" s="18">
        <v>325000000</v>
      </c>
      <c r="C7" s="18">
        <v>317000000</v>
      </c>
      <c r="D7" s="18">
        <v>250000000</v>
      </c>
      <c r="E7" s="18">
        <v>238900000</v>
      </c>
      <c r="F7" s="8" t="s">
        <v>87</v>
      </c>
    </row>
    <row r="8" spans="1:6" x14ac:dyDescent="0.25">
      <c r="A8" t="s">
        <v>88</v>
      </c>
      <c r="B8" s="18">
        <v>186000000</v>
      </c>
      <c r="C8" s="18">
        <v>225000000</v>
      </c>
      <c r="D8" s="18">
        <v>161000000</v>
      </c>
      <c r="E8" s="18">
        <v>141100000</v>
      </c>
      <c r="F8" s="8" t="s">
        <v>89</v>
      </c>
    </row>
    <row r="9" spans="1:6" x14ac:dyDescent="0.25">
      <c r="A9" t="s">
        <v>90</v>
      </c>
      <c r="B9" s="18">
        <v>-213000000</v>
      </c>
      <c r="C9" s="18">
        <v>424000000</v>
      </c>
      <c r="D9" s="18">
        <v>122000000</v>
      </c>
      <c r="E9" s="18">
        <v>529700000</v>
      </c>
      <c r="F9" s="8" t="s">
        <v>91</v>
      </c>
    </row>
    <row r="10" spans="1:6" x14ac:dyDescent="0.25">
      <c r="A10" t="s">
        <v>92</v>
      </c>
      <c r="B10" s="18">
        <v>3647000000</v>
      </c>
      <c r="C10" s="18">
        <v>4085000000</v>
      </c>
      <c r="D10" s="18">
        <v>3334900000</v>
      </c>
      <c r="E10" s="18">
        <v>4183000000</v>
      </c>
      <c r="F10" s="8" t="s">
        <v>93</v>
      </c>
    </row>
    <row r="11" spans="1:6" x14ac:dyDescent="0.25">
      <c r="A11" t="s">
        <v>94</v>
      </c>
      <c r="B11" s="18">
        <v>468000000</v>
      </c>
      <c r="C11" s="18">
        <v>471000000</v>
      </c>
      <c r="D11" s="18">
        <v>1071800000</v>
      </c>
      <c r="E11" s="18">
        <v>490700000</v>
      </c>
      <c r="F11" s="8" t="s">
        <v>95</v>
      </c>
    </row>
    <row r="12" spans="1:6" x14ac:dyDescent="0.25">
      <c r="A12" t="s">
        <v>32</v>
      </c>
      <c r="B12" s="34">
        <v>113100000</v>
      </c>
      <c r="C12" s="34">
        <v>114500000</v>
      </c>
      <c r="D12" s="34">
        <v>115600000</v>
      </c>
      <c r="E12" s="34">
        <v>116700000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2026-09-19T00:07:07Z</dcterms:modified>
</cp:coreProperties>
</file>