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<sst xmlns="http://schemas.openxmlformats.org/spreadsheetml/2006/main" count="121" uniqueCount="108">
  <si>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Rollins, Inc. (ROL)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</si>
  <si>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</si>
  <si>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</si>
  <si>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</si>
  <si>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</si>
  <si>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</si>
  <si>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</si>
  <si>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</si>
  <si>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</si>
  <si>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</si>
  <si>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</si>
  <si>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</si>
  <si>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</si>
  <si>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</si>
  <si>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</si>
  <si>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</si>
  <si>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</si>
  <si>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</si>
  <si>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</si>
  <si>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</si>
  <si>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</si>
  <si>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</si>
  <si>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</si>
  <si>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</si>
  <si>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25.4x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</si>
  <si>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</si>
  <si>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</si>
  <si>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</si>
  <si>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</si>
  <si>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</si>
  <si>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</si>
  <si>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</si>
  <si>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</si>
  <si>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</si>
  <si>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</si>
  <si>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</si>
  <si>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</si>
  <si>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</si>
  <si>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</si>
  <si>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</si>
  <si>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</si>
  <si>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</si>
  <si>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</si>
  <si>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</si>
  <si>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</si>
  <si>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</si>
  <si>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</si>
  <si>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</si>
  <si>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</si>
  <si>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</si>
  <si>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</si>
  <si>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</si>
  <si>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</si>
  <si>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</si>
  <si>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</si>
  <si>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</si>
  <si>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</si>
  <si>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</si>
  <si>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</si>
  <si>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</si>
  <si>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</si>
  <si>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</si>
  <si>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</si>
  <si>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</si>
  <si>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</si>
  <si>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</si>
  <si>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</si>
  <si>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</si>
  <si>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</si>
  <si>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</si>
  <si>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</si>
  <si>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</si>
  <si>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</si>
  <si>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</si>
  <si>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</si>
  <si>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</si>
  <si>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</si>
  <si>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</si>
  <si>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</si>
  <si>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</si>
  <si>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</si>
  <si>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</si>
  <si>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</si>
  <si>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</si>
  <si>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</si>
  <si>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</si>
  <si>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</si>
  <si>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</si>
  <si>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</si>
  <si>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</si>
  <si>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</si>
  <si>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</si>
  <si>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</si>
  <si>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</si>
  <si>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</si>
  <si>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</si>
  <si>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</si>
  <si>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</si>
  <si>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</si>
  <si>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</si>
  <si>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</si>
  <si>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</si>
  <si>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</si>
  <si>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</si>
  <si>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</si>
  <si>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0.94% of revenue, which is too low to be the company's real investment - property trusts and similar structures invest through lines that are not reported as capex. Capex has been set to 3.32%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</si>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</sst>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0.0756584570798049</v>
      </c>
    </row>
    <row r="7" spans="1:2" x14ac:dyDescent="0.25">
      <c r="A7" t="s">
        <v>4</v>
      </c>
      <c r="B7" s="5">
        <v>0.1903694966067898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0.03322825042033026</v>
      </c>
    </row>
    <row r="10" spans="1:3" x14ac:dyDescent="0.25">
      <c r="A10" t="s">
        <v>7</v>
      </c>
      <c r="B10" s="5">
        <v>0.03322825042033026</v>
      </c>
      <c r="C10" s="6" t="s">
        <v>8</v>
      </c>
    </row>
    <row r="11" spans="1:2" x14ac:dyDescent="0.25">
      <c r="A11" t="s">
        <v>9</v>
      </c>
      <c r="B11" s="5">
        <v>0.05320809516491392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0.2919512952465565</v>
      </c>
      <c r="C14" s="6" t="s">
        <v>13</v>
      </c>
    </row>
    <row r="15" spans="1:3" x14ac:dyDescent="0.25">
      <c r="A15" t="s">
        <v>14</v>
      </c>
      <c r="B15" s="5">
        <v>0.03322825042033026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0.81977</v>
      </c>
      <c r="C19" s="6" t="s">
        <v>21</v>
      </c>
    </row>
    <row r="20" spans="1:2" x14ac:dyDescent="0.25">
      <c r="A20" t="s">
        <v>22</v>
      </c>
      <c r="B20" s="9">
        <f>B17+B19*B18</f>
        <v>0.08361627099999999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16676499456</v>
      </c>
    </row>
    <row r="23" spans="1:2" x14ac:dyDescent="0.25">
      <c r="A23" t="s">
        <v>26</v>
      </c>
      <c r="B23" s="10">
        <v>1038022000</v>
      </c>
    </row>
    <row r="24" spans="1:2" x14ac:dyDescent="0.25">
      <c r="A24" t="s">
        <v>27</v>
      </c>
      <c r="B24" s="9">
        <f>B22/(B22+B23)</f>
        <v>0.9414027636829887</v>
      </c>
    </row>
    <row r="25" spans="1:2" x14ac:dyDescent="0.25">
      <c r="A25" t="s">
        <v>28</v>
      </c>
      <c r="B25" s="9">
        <f>1-B24</f>
        <v>0.0585972363170113</v>
      </c>
    </row>
    <row r="26" spans="1:2" x14ac:dyDescent="0.25">
      <c r="A26" t="s">
        <v>29</v>
      </c>
      <c r="B26" s="11">
        <f>B24*B20+B25*B21*(1-B8)</f>
        <v>0.08116727738385757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3761050000</v>
      </c>
      <c r="C29" s="6" t="s">
        <v>32</v>
      </c>
    </row>
    <row r="30" spans="1:2" x14ac:dyDescent="0.25">
      <c r="A30" t="s">
        <v>33</v>
      </c>
      <c r="B30" s="10">
        <v>938018000</v>
      </c>
    </row>
    <row r="31" spans="1:2" x14ac:dyDescent="0.25">
      <c r="A31" t="s">
        <v>34</v>
      </c>
      <c r="B31" s="12">
        <v>484147000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0.0756584570798049</v>
      </c>
      <c r="C5" s="5">
        <v>0.07416479666216769</v>
      </c>
      <c r="D5" s="5">
        <v>0.06801919707939673</v>
      </c>
      <c r="E5" s="5">
        <v>0.061873597496625764</v>
      </c>
      <c r="F5" s="5">
        <v>0.055727997913854806</v>
      </c>
      <c r="G5" s="5">
        <v>0.04958239833108384</v>
      </c>
      <c r="H5" s="5">
        <v>0.04343679874831288</v>
      </c>
      <c r="I5" s="5">
        <v>0.037291199165541924</v>
      </c>
      <c r="J5" s="5">
        <v>0.03114559958277096</v>
      </c>
      <c r="K5" s="5">
        <v>0.025</v>
      </c>
    </row>
    <row r="6" spans="1:11" x14ac:dyDescent="0.25">
      <c r="A6" t="s">
        <v>50</v>
      </c>
      <c r="B6" s="18">
        <f>Assumptions!B29*(1+B5)</f>
        <v>4045605240</v>
      </c>
      <c r="C6" s="18">
        <f>B6*(1+C5)</f>
        <v>4345646730</v>
      </c>
      <c r="D6" s="18">
        <f>C6*(1+D5)</f>
        <v>4641234131.365306</v>
      </c>
      <c r="E6" s="18">
        <f>D6*(1+E5)</f>
        <v>4928403983.897004</v>
      </c>
      <c r="F6" s="18">
        <f>E6*(1+F5)</f>
        <v>5203054070.83025</v>
      </c>
      <c r="G6" s="18">
        <f>F6*(1+G5)</f>
        <v>5461033970.308323</v>
      </c>
      <c r="H6" s="18">
        <f>G6*(1+H5)</f>
        <v>5698243803.834306</v>
      </c>
      <c r="I6" s="18">
        <f>H6*(1+I5)</f>
        <v>5910738148.416906</v>
      </c>
      <c r="J6" s="18">
        <f>I6*(1+J5)</f>
        <v>6094831632.026109</v>
      </c>
      <c r="K6" s="18">
        <f>J6*(1+K5)</f>
        <v>6247202422.826761</v>
      </c>
    </row>
    <row r="7" spans="1:11" x14ac:dyDescent="0.25">
      <c r="A7" t="s">
        <v>4</v>
      </c>
      <c r="B7" s="9">
        <f>Assumptions!B7</f>
        <v>0.1903694966067898</v>
      </c>
      <c r="C7" s="9">
        <f>Assumptions!B7</f>
        <v>0.1903694966067898</v>
      </c>
      <c r="D7" s="9">
        <f>Assumptions!B7</f>
        <v>0.1903694966067898</v>
      </c>
      <c r="E7" s="9">
        <f>Assumptions!B7</f>
        <v>0.1903694966067898</v>
      </c>
      <c r="F7" s="9">
        <f>Assumptions!B7</f>
        <v>0.1903694966067898</v>
      </c>
      <c r="G7" s="9">
        <f>Assumptions!B7</f>
        <v>0.1903694966067898</v>
      </c>
      <c r="H7" s="9">
        <f>Assumptions!B7</f>
        <v>0.1903694966067898</v>
      </c>
      <c r="I7" s="9">
        <f>Assumptions!B7</f>
        <v>0.1903694966067898</v>
      </c>
      <c r="J7" s="9">
        <f>Assumptions!B7</f>
        <v>0.1903694966067898</v>
      </c>
      <c r="K7" s="9">
        <f>Assumptions!B7</f>
        <v>0.1903694966067898</v>
      </c>
    </row>
    <row r="8" spans="1:11" x14ac:dyDescent="0.25">
      <c r="A8" t="s">
        <v>51</v>
      </c>
      <c r="B8" s="18">
        <f>B6*B7</f>
        <v>770159833.008591</v>
      </c>
      <c r="C8" s="18">
        <f>C6*C7</f>
        <v>827278580.4210422</v>
      </c>
      <c r="D8" s="18">
        <f>D6*D7</f>
        <v>883549405.2222646</v>
      </c>
      <c r="E8" s="18">
        <f>E6*E7</f>
        <v>938217785.4893701</v>
      </c>
      <c r="F8" s="18">
        <f>F6*F7</f>
        <v>990502784.2818632</v>
      </c>
      <c r="G8" s="18">
        <f>G6*G7</f>
        <v>1039614287.8801742</v>
      </c>
      <c r="H8" s="18">
        <f>H6*H7</f>
        <v>1084771804.4786959</v>
      </c>
      <c r="I8" s="18">
        <f>I6*I7</f>
        <v>1125224245.8886755</v>
      </c>
      <c r="J8" s="18">
        <f>J6*J7</f>
        <v>1160270029.6919496</v>
      </c>
      <c r="K8" s="18">
        <f>K6*K7</f>
        <v>1189276780.4342482</v>
      </c>
    </row>
    <row r="9" spans="1:11" x14ac:dyDescent="0.25">
      <c r="A9" t="s">
        <v>52</v>
      </c>
      <c r="B9" s="18">
        <f>B8*(1-Assumptions!B8)</f>
        <v>608426268.076787</v>
      </c>
      <c r="C9" s="18">
        <f>C8*(1-Assumptions!B8)</f>
        <v>653550078.5326234</v>
      </c>
      <c r="D9" s="18">
        <f>D8*(1-Assumptions!B8)</f>
        <v>698004030.1255891</v>
      </c>
      <c r="E9" s="18">
        <f>E8*(1-Assumptions!B8)</f>
        <v>741192050.5366024</v>
      </c>
      <c r="F9" s="18">
        <f>F8*(1-Assumptions!B8)</f>
        <v>782497199.582672</v>
      </c>
      <c r="G9" s="18">
        <f>G8*(1-Assumptions!B8)</f>
        <v>821295287.4253377</v>
      </c>
      <c r="H9" s="18">
        <f>H8*(1-Assumptions!B8)</f>
        <v>856969725.5381697</v>
      </c>
      <c r="I9" s="18">
        <f>I8*(1-Assumptions!B8)</f>
        <v>888927154.2520536</v>
      </c>
      <c r="J9" s="18">
        <f>J8*(1-Assumptions!B8)</f>
        <v>916613323.4566402</v>
      </c>
      <c r="K9" s="18">
        <f>K8*(1-Assumptions!B8)</f>
        <v>939528656.5430561</v>
      </c>
    </row>
    <row r="10" spans="1:11" x14ac:dyDescent="0.25">
      <c r="A10" t="s">
        <v>53</v>
      </c>
      <c r="B10" s="18">
        <f>B6*Assumptions!B9</f>
        <v>134428384.0165203</v>
      </c>
      <c r="C10" s="18">
        <f>C6*Assumptions!B9</f>
        <v>144398237.7827293</v>
      </c>
      <c r="D10" s="18">
        <f>D6*Assumptions!B9</f>
        <v>154220089.97639036</v>
      </c>
      <c r="E10" s="18">
        <f>E6*Assumptions!B9</f>
        <v>163762241.74948293</v>
      </c>
      <c r="F10" s="18">
        <f>F6*Assumptions!B9</f>
        <v>172888383.6160663</v>
      </c>
      <c r="G10" s="18">
        <f>G6*Assumptions!B9</f>
        <v>181460604.31933534</v>
      </c>
      <c r="H10" s="18">
        <f>H6*Assumptions!B9</f>
        <v>189342672.06990156</v>
      </c>
      <c r="I10" s="18">
        <f>I6*Assumptions!B9</f>
        <v>196403487.36459616</v>
      </c>
      <c r="J10" s="18">
        <f>J6*Assumptions!B9</f>
        <v>202520591.7387137</v>
      </c>
      <c r="K10" s="18">
        <f>K6*Assumptions!B9</f>
        <v>207583606.53218153</v>
      </c>
    </row>
    <row r="11" spans="1:11" x14ac:dyDescent="0.25">
      <c r="A11" t="s">
        <v>54</v>
      </c>
      <c r="B11" s="18">
        <f>-B6*B19</f>
        <v>-134428384.0165203</v>
      </c>
      <c r="C11" s="18">
        <f>-C6*C19</f>
        <v>-150616456.0758857</v>
      </c>
      <c r="D11" s="18">
        <f>-D6*D19</f>
        <v>-167502442.993833</v>
      </c>
      <c r="E11" s="18">
        <f>-E6*E19</f>
        <v>-184918511.7222609</v>
      </c>
      <c r="F11" s="18">
        <f>-F6*F19</f>
        <v>-202668739.0049808</v>
      </c>
      <c r="G11" s="18">
        <f>-G6*G19</f>
        <v>-220531775.35964647</v>
      </c>
      <c r="H11" s="18">
        <f>-H6*H19</f>
        <v>-238264629.23028156</v>
      </c>
      <c r="I11" s="18">
        <f>-I6*I19</f>
        <v>-255607522.24108133</v>
      </c>
      <c r="J11" s="18">
        <f>-J6*J19</f>
        <v>-272289711.78492236</v>
      </c>
      <c r="K11" s="18">
        <f>-K6*K19</f>
        <v>-288036123.0854659</v>
      </c>
    </row>
    <row r="12" spans="1:11" x14ac:dyDescent="0.25">
      <c r="A12" t="s">
        <v>55</v>
      </c>
      <c r="B12" s="18">
        <f>-(B6-Assumptions!B29)*Assumptions!B11</f>
        <v>-15140642.28959492</v>
      </c>
      <c r="C12" s="18">
        <f>-(C6-B6)*Assumptions!B11</f>
        <v>-15964636.153342567</v>
      </c>
      <c r="D12" s="18">
        <f>-(D6-C6)*Assumptions!B11</f>
        <v>-15727642.581394803</v>
      </c>
      <c r="E12" s="18">
        <f>-(E6-D6)*Assumptions!B11</f>
        <v>-15279760.842000896</v>
      </c>
      <c r="F12" s="18">
        <f>-(F6-E6)*Assumptions!B11</f>
        <v>-14613607.962596016</v>
      </c>
      <c r="G12" s="18">
        <f>-(G6-F6)*Assumptions!B11</f>
        <v>-13726619.042064242</v>
      </c>
      <c r="H12" s="18">
        <f>-(H6-G6)*Assumptions!B11</f>
        <v>-12621483.396303885</v>
      </c>
      <c r="I12" s="18">
        <f>-(I6-H6)*Assumptions!B11</f>
        <v>-11306419.308557022</v>
      </c>
      <c r="J12" s="18">
        <f>-(J6-I6)*Assumptions!B11</f>
        <v>-9795263.595118962</v>
      </c>
      <c r="K12" s="18">
        <f>-(K6-J6)*Assumptions!B11</f>
        <v>-8107359.5372743085</v>
      </c>
    </row>
    <row r="13" spans="1:11" x14ac:dyDescent="0.25">
      <c r="A13" s="19" t="s">
        <v>56</v>
      </c>
      <c r="B13" s="20">
        <f>B9+B10+B11+B12</f>
        <v>593285625.7871921</v>
      </c>
      <c r="C13" s="20">
        <f>C9+C10+C11+C12</f>
        <v>631367224.0861243</v>
      </c>
      <c r="D13" s="20">
        <f>D9+D10+D11+D12</f>
        <v>668994034.5267516</v>
      </c>
      <c r="E13" s="20">
        <f>E9+E10+E11+E12</f>
        <v>704756019.7218236</v>
      </c>
      <c r="F13" s="20">
        <f>F9+F10+F11+F12</f>
        <v>738103236.2311615</v>
      </c>
      <c r="G13" s="20">
        <f>G9+G10+G11+G12</f>
        <v>768497497.3429624</v>
      </c>
      <c r="H13" s="20">
        <f>H9+H10+H11+H12</f>
        <v>795426284.9814858</v>
      </c>
      <c r="I13" s="20">
        <f>I9+I10+I11+I12</f>
        <v>818416700.0670115</v>
      </c>
      <c r="J13" s="20">
        <f>J9+J10+J11+J12</f>
        <v>837048939.8153126</v>
      </c>
      <c r="K13" s="20">
        <f>K9+K10+K11+K12</f>
        <v>850968780.4524975</v>
      </c>
    </row>
    <row r="14" spans="1:11" x14ac:dyDescent="0.25">
      <c r="A14" t="s">
        <v>57</v>
      </c>
      <c r="B14" s="21">
        <f>1/(1+Assumptions!$B$26)^(1-0.5*Assumptions!$B$32)</f>
        <v>0.9617308636870859</v>
      </c>
      <c r="C14" s="21">
        <f>1/(1+Assumptions!$B$26)^(2-0.5*Assumptions!$B$32)</f>
        <v>0.8895301252681487</v>
      </c>
      <c r="D14" s="21">
        <f>1/(1+Assumptions!$B$26)^(3-0.5*Assumptions!$B$32)</f>
        <v>0.8227497667341349</v>
      </c>
      <c r="E14" s="21">
        <f>1/(1+Assumptions!$B$26)^(4-0.5*Assumptions!$B$32)</f>
        <v>0.760982859863253</v>
      </c>
      <c r="F14" s="21">
        <f>1/(1+Assumptions!$B$26)^(5-0.5*Assumptions!$B$32)</f>
        <v>0.7038530260596054</v>
      </c>
      <c r="G14" s="21">
        <f>1/(1+Assumptions!$B$26)^(6-0.5*Assumptions!$B$32)</f>
        <v>0.6510121428783396</v>
      </c>
      <c r="H14" s="21">
        <f>1/(1+Assumptions!$B$26)^(7-0.5*Assumptions!$B$32)</f>
        <v>0.6021382227305463</v>
      </c>
      <c r="I14" s="21">
        <f>1/(1+Assumptions!$B$26)^(8-0.5*Assumptions!$B$32)</f>
        <v>0.5569334508417269</v>
      </c>
      <c r="J14" s="21">
        <f>1/(1+Assumptions!$B$26)^(9-0.5*Assumptions!$B$32)</f>
        <v>0.5151223705080682</v>
      </c>
      <c r="K14" s="21">
        <f>1/(1+Assumptions!$B$26)^(10-0.5*Assumptions!$B$32)</f>
        <v>0.476450204592327</v>
      </c>
    </row>
    <row r="15" spans="1:11" x14ac:dyDescent="0.25">
      <c r="A15" s="19" t="s">
        <v>58</v>
      </c>
      <c r="B15" s="20">
        <f>B13*B14</f>
        <v>570581097.3014495</v>
      </c>
      <c r="C15" s="20">
        <f>C13*C14</f>
        <v>561620165.9315335</v>
      </c>
      <c r="D15" s="20">
        <f>D13*D14</f>
        <v>550414685.8534127</v>
      </c>
      <c r="E15" s="20">
        <f>E13*E14</f>
        <v>536307251.39375645</v>
      </c>
      <c r="F15" s="20">
        <f>F13*F14</f>
        <v>519516196.36569077</v>
      </c>
      <c r="G15" s="20">
        <f>G13*G14</f>
        <v>500301202.54188305</v>
      </c>
      <c r="H15" s="20">
        <f>H13*H14</f>
        <v>478956569.5519129</v>
      </c>
      <c r="I15" s="20">
        <f>I13*I14</f>
        <v>455803636.9948192</v>
      </c>
      <c r="J15" s="20">
        <f>J13*J14</f>
        <v>431182634.10892916</v>
      </c>
      <c r="K15" s="20">
        <f>K13*K14</f>
        <v>405444249.5482754</v>
      </c>
    </row>
    <row r="17" spans="1:2" x14ac:dyDescent="0.25">
      <c r="A17" s="22" t="s">
        <v>59</v>
      </c>
      <c r="B17" s="23">
        <f>SUM(B15:K15)</f>
        <v>5010127689.591661</v>
      </c>
    </row>
    <row r="19" spans="1:11" x14ac:dyDescent="0.25">
      <c r="A19" t="s">
        <v>7</v>
      </c>
      <c r="B19" s="9">
        <f>Assumptions!$B$10+($B$20-Assumptions!$B$10)*0/9</f>
        <v>0.03322825042033026</v>
      </c>
      <c r="C19" s="9">
        <f>Assumptions!$B$10+($B$20-Assumptions!$B$10)*1/9</f>
        <v>0.03465915787312185</v>
      </c>
      <c r="D19" s="9">
        <f>Assumptions!$B$10+($B$20-Assumptions!$B$10)*2/9</f>
        <v>0.03609006532591344</v>
      </c>
      <c r="E19" s="9">
        <f>Assumptions!$B$10+($B$20-Assumptions!$B$10)*3/9</f>
        <v>0.037520972778705024</v>
      </c>
      <c r="F19" s="9">
        <f>Assumptions!$B$10+($B$20-Assumptions!$B$10)*4/9</f>
        <v>0.038951880231496615</v>
      </c>
      <c r="G19" s="9">
        <f>Assumptions!$B$10+($B$20-Assumptions!$B$10)*5/9</f>
        <v>0.040382787684288206</v>
      </c>
      <c r="H19" s="9">
        <f>Assumptions!$B$10+($B$20-Assumptions!$B$10)*6/9</f>
        <v>0.04181369513707979</v>
      </c>
      <c r="I19" s="9">
        <f>Assumptions!$B$10+($B$20-Assumptions!$B$10)*7/9</f>
        <v>0.04324460258987138</v>
      </c>
      <c r="J19" s="9">
        <f>Assumptions!$B$10+($B$20-Assumptions!$B$10)*8/9</f>
        <v>0.04467551004266297</v>
      </c>
      <c r="K19" s="9">
        <f>Assumptions!$B$10+($B$20-Assumptions!$B$10)*9/9</f>
        <v>0.04610641749545456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0.04610641749545456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850968780.4524975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939528656.5430561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0.08563072131222159</v>
      </c>
    </row>
    <row r="7" spans="1:2" x14ac:dyDescent="0.25">
      <c r="A7" t="s">
        <v>66</v>
      </c>
      <c r="B7" s="18">
        <f>-MAX(B5,0)*B6</f>
        <v>-80452516.55328439</v>
      </c>
    </row>
    <row r="8" spans="1:2" x14ac:dyDescent="0.25">
      <c r="A8" t="s">
        <v>67</v>
      </c>
      <c r="B8" s="18">
        <f>IF(OR(Assumptions!$B$33=0,Assumptions!B12&lt;=0),B5,MAX(B5+B7,0))</f>
        <v>859076139.9897717</v>
      </c>
    </row>
    <row r="9" spans="1:2" x14ac:dyDescent="0.25">
      <c r="A9" t="s">
        <v>68</v>
      </c>
      <c r="B9" s="18">
        <f>B8*(1+Assumptions!B12)/(Assumptions!B26-Assumptions!B12)</f>
        <v>15677331793.593153</v>
      </c>
    </row>
    <row r="10" spans="1:2" x14ac:dyDescent="0.25">
      <c r="A10" t="s">
        <v>69</v>
      </c>
      <c r="B10" s="18">
        <f>B9/(1+Assumptions!B26)^(10-0.5*Assumptions!B32)</f>
        <v>7469467940.519251</v>
      </c>
    </row>
    <row r="11" spans="1:2" x14ac:dyDescent="0.25">
      <c r="A11" t="s">
        <v>70</v>
      </c>
      <c r="B11" s="18">
        <f>Forecast!B17+B10</f>
        <v>12479595630.110912</v>
      </c>
    </row>
    <row r="12" spans="1:2" x14ac:dyDescent="0.25">
      <c r="A12" t="s">
        <v>71</v>
      </c>
      <c r="B12" s="18">
        <f>-Assumptions!B30</f>
        <v>-938018000</v>
      </c>
    </row>
    <row r="13" spans="1:2" x14ac:dyDescent="0.25">
      <c r="A13" t="s">
        <v>72</v>
      </c>
      <c r="B13" s="18">
        <f>B11+B12</f>
        <v>11541577630.110912</v>
      </c>
    </row>
    <row r="14" spans="1:2" x14ac:dyDescent="0.25">
      <c r="A14" s="19" t="s">
        <v>73</v>
      </c>
      <c r="B14" s="24">
        <f>B13/Assumptions!B31</f>
        <v>23.83899441721401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1396860386.9664297</v>
      </c>
    </row>
    <row r="18" spans="1:2" x14ac:dyDescent="0.25">
      <c r="A18" t="s">
        <v>68</v>
      </c>
      <c r="B18" s="18">
        <f>B17*Assumptions!B13</f>
        <v>27937207739.328594</v>
      </c>
    </row>
    <row r="19" spans="1:2" x14ac:dyDescent="0.25">
      <c r="A19" t="s">
        <v>69</v>
      </c>
      <c r="B19" s="18">
        <f>B18/(1+Assumptions!B26)^(10-0.5*Assumptions!B32)</f>
        <v>13310688343.14145</v>
      </c>
    </row>
    <row r="20" spans="1:2" x14ac:dyDescent="0.25">
      <c r="A20" t="s">
        <v>70</v>
      </c>
      <c r="B20" s="18">
        <f>Forecast!B17+B19</f>
        <v>18320816032.733112</v>
      </c>
    </row>
    <row r="21" spans="1:2" x14ac:dyDescent="0.25">
      <c r="A21" t="s">
        <v>71</v>
      </c>
      <c r="B21" s="18">
        <f>-Assumptions!B30</f>
        <v>-938018000</v>
      </c>
    </row>
    <row r="22" spans="1:2" x14ac:dyDescent="0.25">
      <c r="A22" t="s">
        <v>72</v>
      </c>
      <c r="B22" s="18">
        <f>B20+B21</f>
        <v>17382798032.733112</v>
      </c>
    </row>
    <row r="23" spans="1:2" x14ac:dyDescent="0.25">
      <c r="A23" s="19" t="s">
        <v>73</v>
      </c>
      <c r="B23" s="25">
        <f>B22/Assumptions!B31</f>
        <v>35.903967251130574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34.66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23.83899441721401</v>
      </c>
    </row>
    <row r="29" spans="1:2" x14ac:dyDescent="0.25">
      <c r="A29" s="19" t="s">
        <v>81</v>
      </c>
      <c r="B29" s="11">
        <f>B28/B26-1</f>
        <v>-0.3122044311248121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0.061167</v>
      </c>
      <c r="B5" s="31">
        <v>32.60247124170667</v>
      </c>
      <c r="C5" s="31">
        <v>34.95686333879898</v>
      </c>
      <c r="D5" s="31">
        <v>37.984919716858606</v>
      </c>
      <c r="E5" s="31">
        <v>42.01086035902512</v>
      </c>
      <c r="F5" s="31">
        <v>47.60671354372563</v>
      </c>
    </row>
    <row r="6" spans="1:6" x14ac:dyDescent="0.25">
      <c r="A6" s="30">
        <v>0.071167</v>
      </c>
      <c r="B6" s="31">
        <v>26.37843494699711</v>
      </c>
      <c r="C6" s="31">
        <v>27.72426467467944</v>
      </c>
      <c r="D6" s="31">
        <v>29.37839307552541</v>
      </c>
      <c r="E6" s="31">
        <v>31.45315478886884</v>
      </c>
      <c r="F6" s="31">
        <v>34.12300441938975</v>
      </c>
    </row>
    <row r="7" spans="1:6" x14ac:dyDescent="0.25">
      <c r="A7" s="30">
        <v>0.081167</v>
      </c>
      <c r="B7" s="31">
        <v>22.043626275401117</v>
      </c>
      <c r="C7" s="31">
        <v>22.86200059499067</v>
      </c>
      <c r="D7" s="32">
        <v>23.839120676266788</v>
      </c>
      <c r="E7" s="31">
        <v>25.021524061498873</v>
      </c>
      <c r="F7" s="31">
        <v>26.475908815524132</v>
      </c>
    </row>
    <row r="8" spans="1:6" x14ac:dyDescent="0.25">
      <c r="A8" s="30">
        <v>0.091167</v>
      </c>
      <c r="B8" s="31">
        <v>18.85342250997715</v>
      </c>
      <c r="C8" s="31">
        <v>19.370527729591508</v>
      </c>
      <c r="D8" s="31">
        <v>19.97625866867981</v>
      </c>
      <c r="E8" s="31">
        <v>20.692349036466133</v>
      </c>
      <c r="F8" s="31">
        <v>21.548271502497915</v>
      </c>
    </row>
    <row r="9" spans="1:6" x14ac:dyDescent="0.25">
      <c r="A9" s="30">
        <v>0.101167</v>
      </c>
      <c r="B9" s="31">
        <v>16.408904386394003</v>
      </c>
      <c r="C9" s="31">
        <v>16.742914229018933</v>
      </c>
      <c r="D9" s="31">
        <v>17.1293922023198</v>
      </c>
      <c r="E9" s="31">
        <v>17.579397111081693</v>
      </c>
      <c r="F9" s="31">
        <v>18.10733045502372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3761050000</v>
      </c>
      <c r="C5" s="18">
        <v>3388708000</v>
      </c>
      <c r="D5" s="18">
        <v>3073278000</v>
      </c>
      <c r="E5" s="18">
        <v>2695823000</v>
      </c>
      <c r="F5" s="6" t="s">
        <v>91</v>
      </c>
    </row>
    <row r="6" spans="1:6" x14ac:dyDescent="0.25">
      <c r="A6" t="s">
        <v>51</v>
      </c>
      <c r="B6" s="18">
        <v>726068000</v>
      </c>
      <c r="C6" s="18">
        <v>657224000</v>
      </c>
      <c r="D6" s="18">
        <v>588422000</v>
      </c>
      <c r="E6" s="18">
        <v>493388000</v>
      </c>
      <c r="F6" s="6" t="s">
        <v>92</v>
      </c>
    </row>
    <row r="7" spans="1:6" x14ac:dyDescent="0.25">
      <c r="A7" t="s">
        <v>93</v>
      </c>
      <c r="B7" s="18">
        <v>124744000</v>
      </c>
      <c r="C7" s="18">
        <v>113220000</v>
      </c>
      <c r="D7" s="18">
        <v>99752000</v>
      </c>
      <c r="E7" s="18">
        <v>91326000</v>
      </c>
      <c r="F7" s="6" t="s">
        <v>94</v>
      </c>
    </row>
    <row r="8" spans="1:6" x14ac:dyDescent="0.25">
      <c r="A8" t="s">
        <v>95</v>
      </c>
      <c r="B8" s="18">
        <v>28086000</v>
      </c>
      <c r="C8" s="18">
        <v>27572000</v>
      </c>
      <c r="D8" s="18">
        <v>32465000</v>
      </c>
      <c r="E8" s="18">
        <v>30628000</v>
      </c>
      <c r="F8" s="6" t="s">
        <v>96</v>
      </c>
    </row>
    <row r="9" spans="1:6" x14ac:dyDescent="0.25">
      <c r="A9" t="s">
        <v>97</v>
      </c>
      <c r="B9" s="18">
        <v>65004000</v>
      </c>
      <c r="C9" s="18">
        <v>24128000</v>
      </c>
      <c r="D9" s="18">
        <v>28079000</v>
      </c>
      <c r="E9" s="18">
        <v>28079000</v>
      </c>
      <c r="F9" s="6" t="s">
        <v>98</v>
      </c>
    </row>
    <row r="10" spans="1:6" x14ac:dyDescent="0.25">
      <c r="A10" t="s">
        <v>99</v>
      </c>
      <c r="B10" s="18">
        <v>1038022000</v>
      </c>
      <c r="C10" s="18">
        <v>812528000</v>
      </c>
      <c r="D10" s="18">
        <v>816348000</v>
      </c>
      <c r="E10" s="18">
        <v>336329000</v>
      </c>
      <c r="F10" s="6" t="s">
        <v>100</v>
      </c>
    </row>
    <row r="11" spans="1:6" x14ac:dyDescent="0.25">
      <c r="A11" t="s">
        <v>101</v>
      </c>
      <c r="B11" s="18">
        <v>100004000</v>
      </c>
      <c r="C11" s="18">
        <v>89630000</v>
      </c>
      <c r="D11" s="18">
        <v>103825000</v>
      </c>
      <c r="E11" s="18">
        <v>95346000</v>
      </c>
      <c r="F11" s="6" t="s">
        <v>102</v>
      </c>
    </row>
    <row r="12" spans="1:6" x14ac:dyDescent="0.25">
      <c r="A12" t="s">
        <v>34</v>
      </c>
      <c r="B12" s="34">
        <v>484147000</v>
      </c>
      <c r="C12" s="34">
        <v>484295000</v>
      </c>
      <c r="D12" s="34">
        <v>490130000</v>
      </c>
      <c r="E12" s="34">
        <v>492413000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