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<sst xmlns="http://schemas.openxmlformats.org/spreadsheetml/2006/main" count="112" uniqueCount="100">
  <si>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Rollins, Inc. (ROL)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</si>
  <si>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</si>
  <si>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</si>
  <si>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</si>
  <si>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</si>
  <si>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</si>
  <si>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</si>
  <si>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</si>
  <si>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</si>
  <si>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</si>
  <si>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</si>
  <si>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</si>
  <si>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</si>
  <si>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</si>
  <si>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</si>
  <si>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</si>
  <si>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</si>
  <si>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</si>
  <si>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</si>
  <si>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</si>
  <si>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</si>
  <si>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</si>
  <si>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</si>
  <si>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</si>
  <si>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</si>
  <si>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</si>
  <si>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</si>
  <si>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</si>
  <si>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</si>
  <si>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</si>
  <si>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</si>
  <si>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</si>
  <si>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</si>
  <si>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</si>
  <si>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</si>
  <si>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</si>
  <si>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</si>
  <si>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</si>
  <si>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</si>
  <si>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</si>
  <si>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</si>
  <si>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</si>
  <si>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</si>
  <si>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</si>
  <si>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</si>
  <si>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</si>
  <si>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</si>
  <si>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</si>
  <si>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</si>
  <si>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</si>
  <si>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</si>
  <si>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</si>
  <si>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</si>
  <si>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</si>
  <si>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</si>
  <si>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</si>
  <si>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</si>
  <si>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</si>
  <si>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</si>
  <si>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</si>
  <si>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</si>
  <si>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</si>
  <si>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</si>
  <si>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</si>
  <si>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</si>
  <si>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</si>
  <si>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</si>
  <si>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</si>
  <si>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</si>
  <si>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</si>
  <si>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</si>
  <si>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</si>
  <si>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</si>
  <si>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</si>
  <si>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</si>
  <si>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</si>
  <si>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</si>
  <si>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</si>
  <si>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</si>
  <si>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</si>
  <si>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</si>
  <si>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</si>
  <si>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</si>
  <si>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</si>
  <si>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</si>
  <si>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</si>
  <si>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</si>
  <si>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</si>
  <si>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</si>
  <si>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</si>
  <si>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</si>
  <si>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</si>
  <si>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</si>
  <si>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</si>
  <si>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</si>
  <si>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</si>
  <si>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</si>
  <si>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</si>
  <si>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0.94% of revenue, which is too low to be the company's real investment - property trusts and similar structures invest through lines that are not reported as capex. Capex has been set to 3.32%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</si>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</sst>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0.1173929088277419</v>
      </c>
    </row>
    <row r="7" spans="1:2" x14ac:dyDescent="0.25">
      <c r="A7" t="s">
        <v>5</v>
      </c>
      <c r="B7" s="6">
        <v>0.1903694966067898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0.03322825042033026</v>
      </c>
    </row>
    <row r="10" spans="1:2" x14ac:dyDescent="0.25">
      <c r="A10" t="s">
        <v>8</v>
      </c>
      <c r="B10" s="6">
        <v>0.03322825042033026</v>
      </c>
    </row>
    <row r="11" spans="1:2" x14ac:dyDescent="0.25">
      <c r="A11" t="s">
        <v>9</v>
      </c>
      <c r="B11" s="6">
        <v>0.07649240719018482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19.442070765339462</v>
      </c>
    </row>
    <row r="14" spans="1:3" x14ac:dyDescent="0.25">
      <c r="A14" t="s">
        <v>12</v>
      </c>
      <c r="B14" s="6">
        <v>0.2919525336728157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0.82312</v>
      </c>
      <c r="C19" s="8" t="s">
        <v>19</v>
      </c>
    </row>
    <row r="20" spans="1:2" x14ac:dyDescent="0.25">
      <c r="A20" t="s">
        <v>20</v>
      </c>
      <c r="B20" s="10">
        <f>B17+B19*B18</f>
        <v>0.09525159999999999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15603546112</v>
      </c>
    </row>
    <row r="23" spans="1:2" x14ac:dyDescent="0.25">
      <c r="A23" t="s">
        <v>24</v>
      </c>
      <c r="B23" s="11">
        <v>1038005000</v>
      </c>
    </row>
    <row r="24" spans="1:2" x14ac:dyDescent="0.25">
      <c r="A24" t="s">
        <v>25</v>
      </c>
      <c r="B24" s="10">
        <f>B22/(B22+B23)</f>
        <v>0.9376257061007066</v>
      </c>
    </row>
    <row r="25" spans="1:2" x14ac:dyDescent="0.25">
      <c r="A25" t="s">
        <v>26</v>
      </c>
      <c r="B25" s="10">
        <f>1-B24</f>
        <v>0.06237429389929339</v>
      </c>
    </row>
    <row r="26" spans="1:2" x14ac:dyDescent="0.25">
      <c r="A26" t="s">
        <v>27</v>
      </c>
      <c r="B26" s="12">
        <f>B24*B20+B25*B21*(1-B8)</f>
        <v>0.09177314780240053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3761050000</v>
      </c>
      <c r="C29" s="8" t="s">
        <v>30</v>
      </c>
    </row>
    <row r="30" spans="1:2" x14ac:dyDescent="0.25">
      <c r="A30" t="s">
        <v>31</v>
      </c>
      <c r="B30" s="11">
        <v>938001000</v>
      </c>
    </row>
    <row r="31" spans="1:2" x14ac:dyDescent="0.25">
      <c r="A31" t="s">
        <v>32</v>
      </c>
      <c r="B31" s="13">
        <v>484147000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0.1173929088277419</v>
      </c>
      <c r="C5" s="10">
        <f>Assumptions!B6</f>
        <v>0.1173929088277419</v>
      </c>
      <c r="D5" s="10">
        <f>Assumptions!B6</f>
        <v>0.1173929088277419</v>
      </c>
      <c r="E5" s="10">
        <f>Assumptions!B6</f>
        <v>0.1173929088277419</v>
      </c>
      <c r="F5" s="10">
        <f>Assumptions!B6</f>
        <v>0.1173929088277419</v>
      </c>
    </row>
    <row r="6" spans="1:6" x14ac:dyDescent="0.25">
      <c r="A6" t="s">
        <v>43</v>
      </c>
      <c r="B6" s="18">
        <f>Assumptions!B29*(1+B5)</f>
        <v>4202570599.7465787</v>
      </c>
      <c r="C6" s="18">
        <f>B6*(1+C5)</f>
        <v>4695922587.004777</v>
      </c>
      <c r="D6" s="18">
        <f>C6*(1+D5)</f>
        <v>5247190599.123162</v>
      </c>
      <c r="E6" s="18">
        <f>D6*(1+E5)</f>
        <v>5863173566.727812</v>
      </c>
      <c r="F6" s="18">
        <f>E6*(1+F5)</f>
        <v>6551468566.687916</v>
      </c>
    </row>
    <row r="7" spans="1:6" x14ac:dyDescent="0.25">
      <c r="A7" t="s">
        <v>5</v>
      </c>
      <c r="B7" s="10">
        <f>Assumptions!B7</f>
        <v>0.1903694966067898</v>
      </c>
      <c r="C7" s="10">
        <f>Assumptions!B7</f>
        <v>0.1903694966067898</v>
      </c>
      <c r="D7" s="10">
        <f>Assumptions!B7</f>
        <v>0.1903694966067898</v>
      </c>
      <c r="E7" s="10">
        <f>Assumptions!B7</f>
        <v>0.1903694966067898</v>
      </c>
      <c r="F7" s="10">
        <f>Assumptions!B7</f>
        <v>0.1903694966067898</v>
      </c>
    </row>
    <row r="8" spans="1:6" x14ac:dyDescent="0.25">
      <c r="A8" t="s">
        <v>44</v>
      </c>
      <c r="B8" s="18">
        <f>B6*B7</f>
        <v>800041249.5282509</v>
      </c>
      <c r="C8" s="18">
        <f>C6*C7</f>
        <v>893960418.9925535</v>
      </c>
      <c r="D8" s="18">
        <f>D6*D7</f>
        <v>998905032.9549563</v>
      </c>
      <c r="E8" s="18">
        <f>E6*E7</f>
        <v>1116169400.41621</v>
      </c>
      <c r="F8" s="18">
        <f>F6*F7</f>
        <v>1247199773.0755854</v>
      </c>
    </row>
    <row r="9" spans="1:6" x14ac:dyDescent="0.25">
      <c r="A9" t="s">
        <v>45</v>
      </c>
      <c r="B9" s="18">
        <f>B8*(1-Assumptions!B8)</f>
        <v>632032587.1273183</v>
      </c>
      <c r="C9" s="18">
        <f>C8*(1-Assumptions!B8)</f>
        <v>706228731.0041173</v>
      </c>
      <c r="D9" s="18">
        <f>D8*(1-Assumptions!B8)</f>
        <v>789134976.0344155</v>
      </c>
      <c r="E9" s="18">
        <f>E8*(1-Assumptions!B8)</f>
        <v>881773826.3288059</v>
      </c>
      <c r="F9" s="18">
        <f>F8*(1-Assumptions!B8)</f>
        <v>985287820.7297125</v>
      </c>
    </row>
    <row r="10" spans="1:6" x14ac:dyDescent="0.25">
      <c r="A10" t="s">
        <v>46</v>
      </c>
      <c r="B10" s="18">
        <f>B6*Assumptions!B9</f>
        <v>139644068.29749683</v>
      </c>
      <c r="C10" s="18">
        <f>C6*Assumptions!B9</f>
        <v>156037291.67547983</v>
      </c>
      <c r="D10" s="18">
        <f>D6*Assumptions!B9</f>
        <v>174354963.2308672</v>
      </c>
      <c r="E10" s="18">
        <f>E6*Assumptions!B9</f>
        <v>194822999.53309268</v>
      </c>
      <c r="F10" s="18">
        <f>F6*Assumptions!B9</f>
        <v>217693838.15482822</v>
      </c>
    </row>
    <row r="11" spans="1:6" x14ac:dyDescent="0.25">
      <c r="A11" t="s">
        <v>47</v>
      </c>
      <c r="B11" s="18">
        <f>-B6*Assumptions!B10</f>
        <v>-139644068.29749683</v>
      </c>
      <c r="C11" s="18">
        <f>-C6*Assumptions!B10</f>
        <v>-156037291.67547983</v>
      </c>
      <c r="D11" s="18">
        <f>-D6*Assumptions!B10</f>
        <v>-174354963.2308672</v>
      </c>
      <c r="E11" s="18">
        <f>-E6*Assumptions!B10</f>
        <v>-194822999.53309268</v>
      </c>
      <c r="F11" s="18">
        <f>-F6*Assumptions!B10</f>
        <v>-217693838.15482822</v>
      </c>
    </row>
    <row r="12" spans="1:6" x14ac:dyDescent="0.25">
      <c r="A12" t="s">
        <v>48</v>
      </c>
      <c r="B12" s="18">
        <f>-(B6-Assumptions!B29)*Assumptions!B11</f>
        <v>-33772973.498669915</v>
      </c>
      <c r="C12" s="18">
        <f>-(C6-B6)*Assumptions!B11</f>
        <v>-37737681.09744097</v>
      </c>
      <c r="D12" s="18">
        <f>-(D6-C6)*Assumptions!B11</f>
        <v>-42167817.25388327</v>
      </c>
      <c r="E12" s="18">
        <f>-(E6-D6)*Assumptions!B11</f>
        <v>-47118019.98023328</v>
      </c>
      <c r="F12" s="18">
        <f>-(F6-E6)*Assumptions!B11</f>
        <v>-52649341.40391652</v>
      </c>
    </row>
    <row r="13" spans="1:6" x14ac:dyDescent="0.25">
      <c r="A13" s="19" t="s">
        <v>49</v>
      </c>
      <c r="B13" s="20">
        <f>B9+B10+B11+B12</f>
        <v>598259613.6286484</v>
      </c>
      <c r="C13" s="20">
        <f>C9+C10+C11+C12</f>
        <v>668491049.9066763</v>
      </c>
      <c r="D13" s="20">
        <f>D9+D10+D11+D12</f>
        <v>746967158.7805322</v>
      </c>
      <c r="E13" s="20">
        <f>E9+E10+E11+E12</f>
        <v>834655806.3485726</v>
      </c>
      <c r="F13" s="20">
        <f>F9+F10+F11+F12</f>
        <v>932638479.3257961</v>
      </c>
    </row>
    <row r="14" spans="1:6" x14ac:dyDescent="0.25">
      <c r="A14" t="s">
        <v>50</v>
      </c>
      <c r="B14" s="21">
        <f>1/(1+Assumptions!$B$26)^(1-0.5*Assumptions!$B$32)</f>
        <v>0.9570481667466311</v>
      </c>
      <c r="C14" s="21">
        <f>1/(1+Assumptions!$B$26)^(2-0.5*Assumptions!$B$32)</f>
        <v>0.8765998400611396</v>
      </c>
      <c r="D14" s="21">
        <f>1/(1+Assumptions!$B$26)^(3-0.5*Assumptions!$B$32)</f>
        <v>0.8029139037039176</v>
      </c>
      <c r="E14" s="21">
        <f>1/(1+Assumptions!$B$26)^(4-0.5*Assumptions!$B$32)</f>
        <v>0.7354219192147018</v>
      </c>
      <c r="F14" s="21">
        <f>1/(1+Assumptions!$B$26)^(5-0.5*Assumptions!$B$32)</f>
        <v>0.6736032303917824</v>
      </c>
    </row>
    <row r="15" spans="1:6" x14ac:dyDescent="0.25">
      <c r="A15" s="19" t="s">
        <v>51</v>
      </c>
      <c r="B15" s="20">
        <f>B13*B14</f>
        <v>572563266.4618458</v>
      </c>
      <c r="C15" s="20">
        <f>C13*C14</f>
        <v>585999147.4304957</v>
      </c>
      <c r="D15" s="20">
        <f>D13*D14</f>
        <v>599750317.3951012</v>
      </c>
      <c r="E15" s="20">
        <f>E13*E14</f>
        <v>613824174.9885617</v>
      </c>
      <c r="F15" s="20">
        <f>F13*F14</f>
        <v>628228292.4615358</v>
      </c>
    </row>
    <row r="17" spans="1:2" x14ac:dyDescent="0.25">
      <c r="A17" s="22" t="s">
        <v>52</v>
      </c>
      <c r="B17" s="23">
        <f>SUM(B15:F15)</f>
        <v>3000365198.7375402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932638479.3257961</v>
      </c>
    </row>
    <row r="5" spans="1:2" x14ac:dyDescent="0.25">
      <c r="A5" t="s">
        <v>56</v>
      </c>
      <c r="B5" s="18">
        <f>IF(Assumptions!$B$33=0,B4,B4-Forecast!F11-Forecast!F10-Forecast!F12)</f>
        <v>985287820.7297125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0.0856303580773747</v>
      </c>
    </row>
    <row r="7" spans="1:2" x14ac:dyDescent="0.25">
      <c r="A7" t="s">
        <v>58</v>
      </c>
      <c r="B7" s="18">
        <f>-MAX(Forecast!F9,0)*B6</f>
        <v>-84370548.89836144</v>
      </c>
    </row>
    <row r="8" spans="1:2" x14ac:dyDescent="0.25">
      <c r="A8" t="s">
        <v>59</v>
      </c>
      <c r="B8" s="18">
        <f>IF(OR(Assumptions!$B$33=0,Assumptions!B12&lt;=0),B5,MAX(B5+B7,0))</f>
        <v>900917271.831351</v>
      </c>
    </row>
    <row r="9" spans="1:2" x14ac:dyDescent="0.25">
      <c r="A9" t="s">
        <v>60</v>
      </c>
      <c r="B9" s="18">
        <f>B8*(1+Assumptions!B12)/(Assumptions!B26-Assumptions!B12)</f>
        <v>13829514318.537733</v>
      </c>
    </row>
    <row r="10" spans="1:2" x14ac:dyDescent="0.25">
      <c r="A10" t="s">
        <v>61</v>
      </c>
      <c r="B10" s="18">
        <f>B9/(1+Assumptions!B26)^(5-0.5*Assumptions!B32)</f>
        <v>9315605519.716427</v>
      </c>
    </row>
    <row r="11" spans="1:2" x14ac:dyDescent="0.25">
      <c r="A11" t="s">
        <v>62</v>
      </c>
      <c r="B11" s="18">
        <f>Forecast!B17+B10</f>
        <v>12315970718.453968</v>
      </c>
    </row>
    <row r="12" spans="1:2" x14ac:dyDescent="0.25">
      <c r="A12" t="s">
        <v>63</v>
      </c>
      <c r="B12" s="18">
        <f>-Assumptions!B30</f>
        <v>-938001000</v>
      </c>
    </row>
    <row r="13" spans="1:2" x14ac:dyDescent="0.25">
      <c r="A13" t="s">
        <v>64</v>
      </c>
      <c r="B13" s="18">
        <f>B11+B12</f>
        <v>11377969718.453968</v>
      </c>
    </row>
    <row r="14" spans="1:2" x14ac:dyDescent="0.25">
      <c r="A14" s="19" t="s">
        <v>65</v>
      </c>
      <c r="B14" s="24">
        <f>B13/Assumptions!B31</f>
        <v>23.501064177726946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1464893611.2304137</v>
      </c>
    </row>
    <row r="18" spans="1:2" x14ac:dyDescent="0.25">
      <c r="A18" t="s">
        <v>60</v>
      </c>
      <c r="B18" s="18">
        <f>B17*Assumptions!B13</f>
        <v>28480565253.23538</v>
      </c>
    </row>
    <row r="19" spans="1:2" x14ac:dyDescent="0.25">
      <c r="A19" t="s">
        <v>61</v>
      </c>
      <c r="B19" s="18">
        <f>B18/(1+Assumptions!B26)^(5-0.5*Assumptions!B32)</f>
        <v>19184600757.963303</v>
      </c>
    </row>
    <row r="20" spans="1:2" x14ac:dyDescent="0.25">
      <c r="A20" t="s">
        <v>62</v>
      </c>
      <c r="B20" s="18">
        <f>Forecast!B17+B19</f>
        <v>22184965956.700844</v>
      </c>
    </row>
    <row r="21" spans="1:2" x14ac:dyDescent="0.25">
      <c r="A21" t="s">
        <v>63</v>
      </c>
      <c r="B21" s="18">
        <f>-Assumptions!B30</f>
        <v>-938001000</v>
      </c>
    </row>
    <row r="22" spans="1:2" x14ac:dyDescent="0.25">
      <c r="A22" t="s">
        <v>64</v>
      </c>
      <c r="B22" s="18">
        <f>B20+B21</f>
        <v>21246964956.700844</v>
      </c>
    </row>
    <row r="23" spans="1:2" x14ac:dyDescent="0.25">
      <c r="A23" s="19" t="s">
        <v>65</v>
      </c>
      <c r="B23" s="25">
        <f>B22/Assumptions!B31</f>
        <v>43.88535910932185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32.43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23.501064177726946</v>
      </c>
    </row>
    <row r="29" spans="1:2" x14ac:dyDescent="0.25">
      <c r="A29" s="19" t="s">
        <v>73</v>
      </c>
      <c r="B29" s="12">
        <f>B28/B26-1</f>
        <v>-0.27532950423290325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0.071773</v>
      </c>
      <c r="B5" s="31">
        <v>29.826980809384978</v>
      </c>
      <c r="C5" s="31">
        <v>31.90089866906696</v>
      </c>
      <c r="D5" s="31">
        <v>34.41276229180738</v>
      </c>
      <c r="E5" s="31">
        <v>37.519830826958156</v>
      </c>
      <c r="F5" s="31">
        <v>41.46489310562241</v>
      </c>
    </row>
    <row r="6" spans="1:6" x14ac:dyDescent="0.25">
      <c r="A6" s="30">
        <v>0.081773</v>
      </c>
      <c r="B6" s="31">
        <v>25.010297655082052</v>
      </c>
      <c r="C6" s="31">
        <v>26.383599874920815</v>
      </c>
      <c r="D6" s="31">
        <v>27.99448552118234</v>
      </c>
      <c r="E6" s="31">
        <v>29.911788762184916</v>
      </c>
      <c r="F6" s="31">
        <v>32.2337770582393</v>
      </c>
    </row>
    <row r="7" spans="1:6" x14ac:dyDescent="0.25">
      <c r="A7" s="30">
        <v>0.091773</v>
      </c>
      <c r="B7" s="31">
        <v>21.452366109332498</v>
      </c>
      <c r="C7" s="31">
        <v>22.407016592992555</v>
      </c>
      <c r="D7" s="32">
        <v>23.50112062658913</v>
      </c>
      <c r="E7" s="31">
        <v>24.768540953538427</v>
      </c>
      <c r="F7" s="31">
        <v>26.255069489016496</v>
      </c>
    </row>
    <row r="8" spans="1:6" x14ac:dyDescent="0.25">
      <c r="A8" s="30">
        <v>0.101773</v>
      </c>
      <c r="B8" s="31">
        <v>18.717833732869753</v>
      </c>
      <c r="C8" s="31">
        <v>19.405778935791385</v>
      </c>
      <c r="D8" s="31">
        <v>20.1803967556197</v>
      </c>
      <c r="E8" s="31">
        <v>21.059801096658564</v>
      </c>
      <c r="F8" s="31">
        <v>22.067531380802414</v>
      </c>
    </row>
    <row r="9" spans="1:6" x14ac:dyDescent="0.25">
      <c r="A9" s="30">
        <v>0.111773</v>
      </c>
      <c r="B9" s="31">
        <v>16.551304054823532</v>
      </c>
      <c r="C9" s="31">
        <v>17.06094391703455</v>
      </c>
      <c r="D9" s="31">
        <v>17.626822949971835</v>
      </c>
      <c r="E9" s="31">
        <v>18.259257365109757</v>
      </c>
      <c r="F9" s="31">
        <v>18.97125083213701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3761050000</v>
      </c>
      <c r="C5" s="18">
        <v>3388708000</v>
      </c>
      <c r="D5" s="18">
        <v>3073278000</v>
      </c>
      <c r="E5" s="18">
        <v>2695823000</v>
      </c>
      <c r="F5" s="8" t="s">
        <v>84</v>
      </c>
    </row>
    <row r="6" spans="1:6" x14ac:dyDescent="0.25">
      <c r="A6" t="s">
        <v>44</v>
      </c>
      <c r="B6" s="18">
        <v>726068000</v>
      </c>
      <c r="C6" s="18">
        <v>657224000</v>
      </c>
      <c r="D6" s="18">
        <v>588422000</v>
      </c>
      <c r="E6" s="18">
        <v>493388000</v>
      </c>
      <c r="F6" s="8" t="s">
        <v>85</v>
      </c>
    </row>
    <row r="7" spans="1:6" x14ac:dyDescent="0.25">
      <c r="A7" t="s">
        <v>86</v>
      </c>
      <c r="B7" s="18">
        <v>124744000</v>
      </c>
      <c r="C7" s="18">
        <v>113220000</v>
      </c>
      <c r="D7" s="18">
        <v>99752000</v>
      </c>
      <c r="E7" s="18">
        <v>91326000</v>
      </c>
      <c r="F7" s="8" t="s">
        <v>87</v>
      </c>
    </row>
    <row r="8" spans="1:6" x14ac:dyDescent="0.25">
      <c r="A8" t="s">
        <v>88</v>
      </c>
      <c r="B8" s="18">
        <v>28086000</v>
      </c>
      <c r="C8" s="18">
        <v>27572000</v>
      </c>
      <c r="D8" s="18">
        <v>32465000</v>
      </c>
      <c r="E8" s="18">
        <v>30628000</v>
      </c>
      <c r="F8" s="8" t="s">
        <v>89</v>
      </c>
    </row>
    <row r="9" spans="1:6" x14ac:dyDescent="0.25">
      <c r="A9" t="s">
        <v>90</v>
      </c>
      <c r="B9" s="18">
        <v>65004000</v>
      </c>
      <c r="C9" s="18">
        <v>24128000</v>
      </c>
      <c r="D9" s="18">
        <v>28079000</v>
      </c>
      <c r="E9" s="18">
        <v>28079000</v>
      </c>
      <c r="F9" s="8" t="s">
        <v>91</v>
      </c>
    </row>
    <row r="10" spans="1:6" x14ac:dyDescent="0.25">
      <c r="A10" t="s">
        <v>92</v>
      </c>
      <c r="B10" s="18">
        <v>1038005000</v>
      </c>
      <c r="C10" s="18">
        <v>812528000</v>
      </c>
      <c r="D10" s="18">
        <v>816348000</v>
      </c>
      <c r="E10" s="18">
        <v>336329000</v>
      </c>
      <c r="F10" s="8" t="s">
        <v>93</v>
      </c>
    </row>
    <row r="11" spans="1:6" x14ac:dyDescent="0.25">
      <c r="A11" t="s">
        <v>94</v>
      </c>
      <c r="B11" s="18">
        <v>100004000</v>
      </c>
      <c r="C11" s="18">
        <v>89630000</v>
      </c>
      <c r="D11" s="18">
        <v>103825000</v>
      </c>
      <c r="E11" s="18">
        <v>95346000</v>
      </c>
      <c r="F11" s="8" t="s">
        <v>95</v>
      </c>
    </row>
    <row r="12" spans="1:6" x14ac:dyDescent="0.25">
      <c r="A12" t="s">
        <v>32</v>
      </c>
      <c r="B12" s="34">
        <v>484147000</v>
      </c>
      <c r="C12" s="34">
        <v>484295000</v>
      </c>
      <c r="D12" s="34">
        <v>490130000</v>
      </c>
      <c r="E12" s="34">
        <v>492413000</v>
      </c>
      <c r="F12" s="8" t="s">
        <v>96</v>
      </c>
    </row>
    <row r="15" spans="1:1" x14ac:dyDescent="0.25">
      <c r="A15" s="19" t="s">
        <v>97</v>
      </c>
    </row>
    <row r="16" ht="86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2026-09-19T00:06:26Z</dcterms:modified>
</cp:coreProperties>
</file>