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<sst xmlns="http://schemas.openxmlformats.org/spreadsheetml/2006/main" count="111" uniqueCount="99">
  <si>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Roper Technologies, Inc. (ROP)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</si>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</sst>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0.13731706743631933</v>
      </c>
    </row>
    <row r="7" spans="1:2" x14ac:dyDescent="0.25">
      <c r="A7" t="s">
        <v>5</v>
      </c>
      <c r="B7" s="6">
        <v>0.2832083398054525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0.11809823808158813</v>
      </c>
    </row>
    <row r="10" spans="1:2" x14ac:dyDescent="0.25">
      <c r="A10" t="s">
        <v>8</v>
      </c>
      <c r="B10" s="6">
        <v>0.01489665543273429</v>
      </c>
    </row>
    <row r="11" spans="1:2" x14ac:dyDescent="0.25">
      <c r="A11" t="s">
        <v>9</v>
      </c>
      <c r="B11" s="6">
        <v>-0.05272952853598015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14.652862935920346</v>
      </c>
    </row>
    <row r="14" spans="1:3" x14ac:dyDescent="0.25">
      <c r="A14" t="s">
        <v>12</v>
      </c>
      <c r="B14" s="6">
        <v>0.08429285451282356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0.83049</v>
      </c>
      <c r="C19" s="8" t="s">
        <v>19</v>
      </c>
    </row>
    <row r="20" spans="1:2" x14ac:dyDescent="0.25">
      <c r="A20" t="s">
        <v>20</v>
      </c>
      <c r="B20" s="10">
        <f>B17+B19*B18</f>
        <v>0.09565695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36864311296</v>
      </c>
    </row>
    <row r="23" spans="1:2" x14ac:dyDescent="0.25">
      <c r="A23" t="s">
        <v>24</v>
      </c>
      <c r="B23" s="11">
        <v>9349300000</v>
      </c>
    </row>
    <row r="24" spans="1:2" x14ac:dyDescent="0.25">
      <c r="A24" t="s">
        <v>25</v>
      </c>
      <c r="B24" s="10">
        <f>B22/(B22+B23)</f>
        <v>0.7976938019381916</v>
      </c>
    </row>
    <row r="25" spans="1:2" x14ac:dyDescent="0.25">
      <c r="A25" t="s">
        <v>26</v>
      </c>
      <c r="B25" s="10">
        <f>1-B24</f>
        <v>0.20230619806180838</v>
      </c>
    </row>
    <row r="26" spans="1:2" x14ac:dyDescent="0.25">
      <c r="A26" t="s">
        <v>27</v>
      </c>
      <c r="B26" s="12">
        <f>B24*B20+B25*B21*(1-B8)</f>
        <v>0.08429285451282356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7902500000</v>
      </c>
      <c r="C29" s="8" t="s">
        <v>30</v>
      </c>
    </row>
    <row r="30" spans="1:2" x14ac:dyDescent="0.25">
      <c r="A30" t="s">
        <v>31</v>
      </c>
      <c r="B30" s="11">
        <v>9051900000</v>
      </c>
    </row>
    <row r="31" spans="1:2" x14ac:dyDescent="0.25">
      <c r="A31" t="s">
        <v>32</v>
      </c>
      <c r="B31" s="13">
        <v>108200000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0.13731706743631933</v>
      </c>
      <c r="C5" s="10">
        <f>Assumptions!B6</f>
        <v>0.13731706743631933</v>
      </c>
      <c r="D5" s="10">
        <f>Assumptions!B6</f>
        <v>0.13731706743631933</v>
      </c>
      <c r="E5" s="10">
        <f>Assumptions!B6</f>
        <v>0.13731706743631933</v>
      </c>
      <c r="F5" s="10">
        <f>Assumptions!B6</f>
        <v>0.13731706743631933</v>
      </c>
    </row>
    <row r="6" spans="1:6" x14ac:dyDescent="0.25">
      <c r="A6" t="s">
        <v>43</v>
      </c>
      <c r="B6" s="18">
        <f>Assumptions!B29*(1+B5)</f>
        <v>8987648125.415514</v>
      </c>
      <c r="C6" s="18">
        <f>B6*(1+C5)</f>
        <v>10221805609.147104</v>
      </c>
      <c r="D6" s="18">
        <f>C6*(1+D5)</f>
        <v>11625433979.299305</v>
      </c>
      <c r="E6" s="18">
        <f>D6*(1+E5)</f>
        <v>13221804481.011227</v>
      </c>
      <c r="F6" s="18">
        <f>E6*(1+F5)</f>
        <v>15037383898.560074</v>
      </c>
    </row>
    <row r="7" spans="1:6" x14ac:dyDescent="0.25">
      <c r="A7" t="s">
        <v>5</v>
      </c>
      <c r="B7" s="10">
        <f>Assumptions!B7</f>
        <v>0.2832083398054525</v>
      </c>
      <c r="C7" s="10">
        <f>Assumptions!B7</f>
        <v>0.2832083398054525</v>
      </c>
      <c r="D7" s="10">
        <f>Assumptions!B7</f>
        <v>0.2832083398054525</v>
      </c>
      <c r="E7" s="10">
        <f>Assumptions!B7</f>
        <v>0.2832083398054525</v>
      </c>
      <c r="F7" s="10">
        <f>Assumptions!B7</f>
        <v>0.2832083398054525</v>
      </c>
    </row>
    <row r="8" spans="1:6" x14ac:dyDescent="0.25">
      <c r="A8" t="s">
        <v>44</v>
      </c>
      <c r="B8" s="18">
        <f>B6*B7</f>
        <v>2545376904.354515</v>
      </c>
      <c r="C8" s="18">
        <f>C6*C7</f>
        <v>2894900596.380614</v>
      </c>
      <c r="D8" s="18">
        <f>D6*D7</f>
        <v>3292419856.7952514</v>
      </c>
      <c r="E8" s="18">
        <f>E6*E7</f>
        <v>3744525296.2994823</v>
      </c>
      <c r="F8" s="18">
        <f>F6*F7</f>
        <v>4258712528.9284415</v>
      </c>
    </row>
    <row r="9" spans="1:6" x14ac:dyDescent="0.25">
      <c r="A9" t="s">
        <v>45</v>
      </c>
      <c r="B9" s="18">
        <f>B8*(1-Assumptions!B8)</f>
        <v>2010847754.440067</v>
      </c>
      <c r="C9" s="18">
        <f>C8*(1-Assumptions!B8)</f>
        <v>2286971471.140685</v>
      </c>
      <c r="D9" s="18">
        <f>D8*(1-Assumptions!B8)</f>
        <v>2601011686.8682485</v>
      </c>
      <c r="E9" s="18">
        <f>E8*(1-Assumptions!B8)</f>
        <v>2958174984.076591</v>
      </c>
      <c r="F9" s="18">
        <f>F8*(1-Assumptions!B8)</f>
        <v>3364382897.853469</v>
      </c>
    </row>
    <row r="10" spans="1:6" x14ac:dyDescent="0.25">
      <c r="A10" t="s">
        <v>46</v>
      </c>
      <c r="B10" s="18">
        <f>B6*Assumptions!B9</f>
        <v>1061425408.1088606</v>
      </c>
      <c r="C10" s="18">
        <f>C6*Assumptions!B9</f>
        <v>1207177232.4527678</v>
      </c>
      <c r="D10" s="18">
        <f>D6*Assumptions!B9</f>
        <v>1372943269.8890738</v>
      </c>
      <c r="E10" s="18">
        <f>E6*Assumptions!B9</f>
        <v>1561471813.4666727</v>
      </c>
      <c r="F10" s="18">
        <f>F6*Assumptions!B9</f>
        <v>1775888543.7763875</v>
      </c>
    </row>
    <row r="11" spans="1:6" x14ac:dyDescent="0.25">
      <c r="A11" t="s">
        <v>47</v>
      </c>
      <c r="B11" s="18">
        <f>-B6*Assumptions!B10</f>
        <v>-133885897.27497517</v>
      </c>
      <c r="C11" s="18">
        <f>-C6*Assumptions!B10</f>
        <v>-152270716.05985504</v>
      </c>
      <c r="D11" s="18">
        <f>-D6*Assumptions!B10</f>
        <v>-173180084.2456228</v>
      </c>
      <c r="E11" s="18">
        <f>-E6*Assumptions!B10</f>
        <v>-196960665.55260646</v>
      </c>
      <c r="F11" s="18">
        <f>-F6*Assumptions!B10</f>
        <v>-224006726.54659605</v>
      </c>
    </row>
    <row r="12" spans="1:6" x14ac:dyDescent="0.25">
      <c r="A12" t="s">
        <v>48</v>
      </c>
      <c r="B12" s="18">
        <f>-(B6-Assumptions!B29)*Assumptions!B11</f>
        <v>57219349.04486271</v>
      </c>
      <c r="C12" s="18">
        <f>-(C6-B6)*Assumptions!B11</f>
        <v>65076542.256318346</v>
      </c>
      <c r="D12" s="18">
        <f>-(D6-C6)*Assumptions!B11</f>
        <v>74012662.19785178</v>
      </c>
      <c r="E12" s="18">
        <f>-(E6-D6)*Assumptions!B11</f>
        <v>84175863.92401572</v>
      </c>
      <c r="F12" s="18">
        <f>-(F6-E6)*Assumptions!B11</f>
        <v>95734646.70698015</v>
      </c>
    </row>
    <row r="13" spans="1:6" x14ac:dyDescent="0.25">
      <c r="A13" s="19" t="s">
        <v>49</v>
      </c>
      <c r="B13" s="20">
        <f>B9+B10+B11+B12</f>
        <v>2995606614.318815</v>
      </c>
      <c r="C13" s="20">
        <f>C9+C10+C11+C12</f>
        <v>3406954529.7899165</v>
      </c>
      <c r="D13" s="20">
        <f>D9+D10+D11+D12</f>
        <v>3874787534.7095513</v>
      </c>
      <c r="E13" s="20">
        <f>E9+E10+E11+E12</f>
        <v>4406861995.914673</v>
      </c>
      <c r="F13" s="20">
        <f>F9+F10+F11+F12</f>
        <v>5011999361.790239</v>
      </c>
    </row>
    <row r="14" spans="1:6" x14ac:dyDescent="0.25">
      <c r="A14" t="s">
        <v>50</v>
      </c>
      <c r="B14" s="21">
        <f>1/(1+Assumptions!$B$26)^(1-0.5*Assumptions!$B$32)</f>
        <v>0.9603437230491806</v>
      </c>
      <c r="C14" s="21">
        <f>1/(1+Assumptions!$B$26)^(2-0.5*Assumptions!$B$32)</f>
        <v>0.8856866657861229</v>
      </c>
      <c r="D14" s="21">
        <f>1/(1+Assumptions!$B$26)^(3-0.5*Assumptions!$B$32)</f>
        <v>0.8168334431974698</v>
      </c>
      <c r="E14" s="21">
        <f>1/(1+Assumptions!$B$26)^(4-0.5*Assumptions!$B$32)</f>
        <v>0.7533328655610073</v>
      </c>
      <c r="F14" s="21">
        <f>1/(1+Assumptions!$B$26)^(5-0.5*Assumptions!$B$32)</f>
        <v>0.6947688186135675</v>
      </c>
    </row>
    <row r="15" spans="1:6" x14ac:dyDescent="0.25">
      <c r="A15" s="19" t="s">
        <v>51</v>
      </c>
      <c r="B15" s="20">
        <f>B13*B14</f>
        <v>2876812008.7856817</v>
      </c>
      <c r="C15" s="20">
        <f>C13*C14</f>
        <v>3017494197.9745593</v>
      </c>
      <c r="D15" s="20">
        <f>D13*D14</f>
        <v>3165056043.635438</v>
      </c>
      <c r="E15" s="20">
        <f>E13*E14</f>
        <v>3319833975.514301</v>
      </c>
      <c r="F15" s="20">
        <f>F13*F14</f>
        <v>3482180875.4829593</v>
      </c>
    </row>
    <row r="17" spans="1:2" x14ac:dyDescent="0.25">
      <c r="A17" s="22" t="s">
        <v>52</v>
      </c>
      <c r="B17" s="23">
        <f>SUM(B15:F15)</f>
        <v>15861377101.39294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5011999361.790239</v>
      </c>
    </row>
    <row r="5" spans="1:2" x14ac:dyDescent="0.25">
      <c r="A5" t="s">
        <v>56</v>
      </c>
      <c r="B5" s="18">
        <f>IF(Assumptions!$B$33=0,B4,B4-Forecast!F11-Forecast!F10-Forecast!F12)</f>
        <v>4699084760.198977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0.29658504442030403</v>
      </c>
    </row>
    <row r="7" spans="1:2" x14ac:dyDescent="0.25">
      <c r="A7" t="s">
        <v>58</v>
      </c>
      <c r="B7" s="18">
        <f>-MAX(Forecast!F9,0)*B6</f>
        <v>-1393678262.3383875</v>
      </c>
    </row>
    <row r="8" spans="1:2" x14ac:dyDescent="0.25">
      <c r="A8" t="s">
        <v>59</v>
      </c>
      <c r="B8" s="18">
        <f>IF(OR(Assumptions!$B$33=0,Assumptions!B12&lt;=0),B5,MAX(B5+B7,0))</f>
        <v>3305406497.86059</v>
      </c>
    </row>
    <row r="9" spans="1:2" x14ac:dyDescent="0.25">
      <c r="A9" t="s">
        <v>60</v>
      </c>
      <c r="B9" s="18">
        <f>B8*(1+Assumptions!B12)/(Assumptions!B26-Assumptions!B12)</f>
        <v>57140808755.87388</v>
      </c>
    </row>
    <row r="10" spans="1:2" x14ac:dyDescent="0.25">
      <c r="A10" t="s">
        <v>61</v>
      </c>
      <c r="B10" s="18">
        <f>B9/(1+Assumptions!B26)^(5-0.5*Assumptions!B32)</f>
        <v>39699652193.94229</v>
      </c>
    </row>
    <row r="11" spans="1:2" x14ac:dyDescent="0.25">
      <c r="A11" t="s">
        <v>62</v>
      </c>
      <c r="B11" s="18">
        <f>Forecast!B17+B10</f>
        <v>55561029295.335236</v>
      </c>
    </row>
    <row r="12" spans="1:2" x14ac:dyDescent="0.25">
      <c r="A12" t="s">
        <v>63</v>
      </c>
      <c r="B12" s="18">
        <f>-Assumptions!B30</f>
        <v>-9051900000</v>
      </c>
    </row>
    <row r="13" spans="1:2" x14ac:dyDescent="0.25">
      <c r="A13" t="s">
        <v>64</v>
      </c>
      <c r="B13" s="18">
        <f>B11+B12</f>
        <v>46509129295.335236</v>
      </c>
    </row>
    <row r="14" spans="1:2" x14ac:dyDescent="0.25">
      <c r="A14" s="19" t="s">
        <v>65</v>
      </c>
      <c r="B14" s="24">
        <f>B13/Assumptions!B31</f>
        <v>429.8440785151131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6034601072.704829</v>
      </c>
    </row>
    <row r="18" spans="1:2" x14ac:dyDescent="0.25">
      <c r="A18" t="s">
        <v>60</v>
      </c>
      <c r="B18" s="18">
        <f>B17*Assumptions!B13</f>
        <v>88424182391.30176</v>
      </c>
    </row>
    <row r="19" spans="1:2" x14ac:dyDescent="0.25">
      <c r="A19" t="s">
        <v>61</v>
      </c>
      <c r="B19" s="18">
        <f>B18/(1+Assumptions!B26)^(5-0.5*Assumptions!B32)</f>
        <v>61434364736.87534</v>
      </c>
    </row>
    <row r="20" spans="1:2" x14ac:dyDescent="0.25">
      <c r="A20" t="s">
        <v>62</v>
      </c>
      <c r="B20" s="18">
        <f>Forecast!B17+B19</f>
        <v>77295741838.26828</v>
      </c>
    </row>
    <row r="21" spans="1:2" x14ac:dyDescent="0.25">
      <c r="A21" t="s">
        <v>63</v>
      </c>
      <c r="B21" s="18">
        <f>-Assumptions!B30</f>
        <v>-9051900000</v>
      </c>
    </row>
    <row r="22" spans="1:2" x14ac:dyDescent="0.25">
      <c r="A22" t="s">
        <v>64</v>
      </c>
      <c r="B22" s="18">
        <f>B20+B21</f>
        <v>68243841838.26828</v>
      </c>
    </row>
    <row r="23" spans="1:2" x14ac:dyDescent="0.25">
      <c r="A23" s="19" t="s">
        <v>65</v>
      </c>
      <c r="B23" s="25">
        <f>B22/Assumptions!B31</f>
        <v>630.7194254923131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372.74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429.8440785151131</v>
      </c>
    </row>
    <row r="29" spans="1:2" x14ac:dyDescent="0.25">
      <c r="A29" s="19" t="s">
        <v>73</v>
      </c>
      <c r="B29" s="12">
        <f>B28/B26-1</f>
        <v>0.15320083306088184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0.064293</v>
      </c>
      <c r="B5" s="31">
        <v>588.224428725552</v>
      </c>
      <c r="C5" s="31">
        <v>590.7760540594984</v>
      </c>
      <c r="D5" s="31">
        <v>593.3276793934447</v>
      </c>
      <c r="E5" s="31">
        <v>595.8793047273911</v>
      </c>
      <c r="F5" s="31">
        <v>598.4309300613373</v>
      </c>
    </row>
    <row r="6" spans="1:6" x14ac:dyDescent="0.25">
      <c r="A6" s="30">
        <v>0.074293</v>
      </c>
      <c r="B6" s="31">
        <v>496.3004147357351</v>
      </c>
      <c r="C6" s="31">
        <v>498.4175849229245</v>
      </c>
      <c r="D6" s="31">
        <v>500.5347551101136</v>
      </c>
      <c r="E6" s="31">
        <v>502.6519252973029</v>
      </c>
      <c r="F6" s="31">
        <v>504.7690954844921</v>
      </c>
    </row>
    <row r="7" spans="1:6" x14ac:dyDescent="0.25">
      <c r="A7" s="30">
        <v>0.084293</v>
      </c>
      <c r="B7" s="31">
        <v>426.2635721190325</v>
      </c>
      <c r="C7" s="31">
        <v>428.0533723851647</v>
      </c>
      <c r="D7" s="32">
        <v>429.8431726512967</v>
      </c>
      <c r="E7" s="31">
        <v>431.6329729174289</v>
      </c>
      <c r="F7" s="31">
        <v>433.42277318356105</v>
      </c>
    </row>
    <row r="8" spans="1:6" x14ac:dyDescent="0.25">
      <c r="A8" s="30">
        <v>0.094293</v>
      </c>
      <c r="B8" s="31">
        <v>371.14762272304733</v>
      </c>
      <c r="C8" s="31">
        <v>372.68285917617953</v>
      </c>
      <c r="D8" s="31">
        <v>374.2180956293115</v>
      </c>
      <c r="E8" s="31">
        <v>375.75333208244365</v>
      </c>
      <c r="F8" s="31">
        <v>377.28856853557573</v>
      </c>
    </row>
    <row r="9" spans="1:6" x14ac:dyDescent="0.25">
      <c r="A9" s="30">
        <v>0.104293</v>
      </c>
      <c r="B9" s="31">
        <v>326.65820897606847</v>
      </c>
      <c r="C9" s="31">
        <v>327.9905684844019</v>
      </c>
      <c r="D9" s="31">
        <v>329.32292799273506</v>
      </c>
      <c r="E9" s="31">
        <v>330.6552875010685</v>
      </c>
      <c r="F9" s="31">
        <v>331.9876470094019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7902500000</v>
      </c>
      <c r="C5" s="18">
        <v>7039200000</v>
      </c>
      <c r="D5" s="18">
        <v>6177800000</v>
      </c>
      <c r="E5" s="18">
        <v>5371800000</v>
      </c>
      <c r="F5" s="8" t="s">
        <v>84</v>
      </c>
    </row>
    <row r="6" spans="1:6" x14ac:dyDescent="0.25">
      <c r="A6" t="s">
        <v>44</v>
      </c>
      <c r="B6" s="18">
        <v>2235400000</v>
      </c>
      <c r="C6" s="18">
        <v>1996800000</v>
      </c>
      <c r="D6" s="18">
        <v>1745200000</v>
      </c>
      <c r="E6" s="18">
        <v>1524500000</v>
      </c>
      <c r="F6" s="8" t="s">
        <v>85</v>
      </c>
    </row>
    <row r="7" spans="1:6" x14ac:dyDescent="0.25">
      <c r="A7" t="s">
        <v>86</v>
      </c>
      <c r="B7" s="18">
        <v>898200000</v>
      </c>
      <c r="C7" s="18">
        <v>812800000</v>
      </c>
      <c r="D7" s="18">
        <v>755200000</v>
      </c>
      <c r="E7" s="18">
        <v>650100000</v>
      </c>
      <c r="F7" s="8" t="s">
        <v>87</v>
      </c>
    </row>
    <row r="8" spans="1:6" x14ac:dyDescent="0.25">
      <c r="A8" t="s">
        <v>88</v>
      </c>
      <c r="B8" s="18">
        <v>104700000</v>
      </c>
      <c r="C8" s="18">
        <v>111000000</v>
      </c>
      <c r="D8" s="18">
        <v>108000000</v>
      </c>
      <c r="E8" s="18">
        <v>70300000</v>
      </c>
      <c r="F8" s="8" t="s">
        <v>89</v>
      </c>
    </row>
    <row r="9" spans="1:6" x14ac:dyDescent="0.25">
      <c r="A9" t="s">
        <v>90</v>
      </c>
      <c r="B9" s="18">
        <v>-2700000</v>
      </c>
      <c r="C9" s="18">
        <v>-181500000</v>
      </c>
      <c r="D9" s="18">
        <v>-42500000</v>
      </c>
      <c r="E9" s="18">
        <v>-2100000</v>
      </c>
      <c r="F9" s="8" t="s">
        <v>91</v>
      </c>
    </row>
    <row r="10" spans="1:6" x14ac:dyDescent="0.25">
      <c r="A10" t="s">
        <v>92</v>
      </c>
      <c r="B10" s="18">
        <v>9349300000</v>
      </c>
      <c r="C10" s="18">
        <v>7669200000</v>
      </c>
      <c r="D10" s="18">
        <v>6373400000</v>
      </c>
      <c r="E10" s="18">
        <v>6708100000</v>
      </c>
      <c r="F10" s="8" t="s">
        <v>93</v>
      </c>
    </row>
    <row r="11" spans="1:6" x14ac:dyDescent="0.25">
      <c r="A11" t="s">
        <v>94</v>
      </c>
      <c r="B11" s="18">
        <v>297400000</v>
      </c>
      <c r="C11" s="18">
        <v>188200000</v>
      </c>
      <c r="D11" s="18">
        <v>214300000</v>
      </c>
      <c r="E11" s="18">
        <v>792800000</v>
      </c>
      <c r="F11" s="8" t="s">
        <v>95</v>
      </c>
    </row>
    <row r="12" spans="1:6" x14ac:dyDescent="0.25">
      <c r="A12" t="s">
        <v>32</v>
      </c>
      <c r="B12" s="34">
        <v>108200000</v>
      </c>
      <c r="C12" s="34">
        <v>108000000</v>
      </c>
      <c r="D12" s="34">
        <v>107400000</v>
      </c>
      <c r="E12" s="34">
        <v>106800000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