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<sst xmlns="http://schemas.openxmlformats.org/spreadsheetml/2006/main" count="119" uniqueCount="106">
  <si>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Roper Technologies, Inc. (ROP)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</si>
  <si>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</si>
  <si>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</si>
  <si>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</si>
  <si>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</si>
  <si>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</si>
  <si>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</si>
  <si>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</si>
  <si>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</si>
  <si>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</si>
  <si>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</si>
  <si>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</si>
  <si>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</si>
  <si>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</si>
  <si>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</si>
  <si>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</si>
  <si>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</si>
  <si>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</si>
  <si>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</si>
  <si>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</si>
  <si>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</si>
  <si>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</si>
  <si>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</si>
  <si>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</si>
  <si>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+ 55bp, the spread for a AA rating at 6.9x interest cover. Book interest / average debt was lower, at 3.8%.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</si>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</sst>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0.083969920911104</v>
      </c>
    </row>
    <row r="7" spans="1:2" x14ac:dyDescent="0.25">
      <c r="A7" t="s">
        <v>4</v>
      </c>
      <c r="B7" s="5">
        <v>0.2832083398054525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0.11809823808158813</v>
      </c>
    </row>
    <row r="10" spans="1:3" x14ac:dyDescent="0.25">
      <c r="A10" t="s">
        <v>7</v>
      </c>
      <c r="B10" s="5">
        <v>0.01489665543273429</v>
      </c>
      <c r="C10" s="6" t="s">
        <v>8</v>
      </c>
    </row>
    <row r="11" spans="1:2" x14ac:dyDescent="0.25">
      <c r="A11" t="s">
        <v>9</v>
      </c>
      <c r="B11" s="5">
        <v>0.1279833670641709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17.6152175542507</v>
      </c>
    </row>
    <row r="14" spans="1:3" x14ac:dyDescent="0.25">
      <c r="A14" t="s">
        <v>12</v>
      </c>
      <c r="B14" s="5">
        <v>0.077246394190747</v>
      </c>
      <c r="C14" s="6" t="s">
        <v>13</v>
      </c>
    </row>
    <row r="15" spans="1:3" x14ac:dyDescent="0.25">
      <c r="A15" t="s">
        <v>14</v>
      </c>
      <c r="B15" s="5">
        <v>0.0057451825446316685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0.83317</v>
      </c>
      <c r="C19" s="6" t="s">
        <v>21</v>
      </c>
    </row>
    <row r="20" spans="1:2" x14ac:dyDescent="0.25">
      <c r="A20" t="s">
        <v>22</v>
      </c>
      <c r="B20" s="9">
        <f>B17+B19*B18</f>
        <v>0.084183091</v>
      </c>
    </row>
    <row r="21" spans="1:3" x14ac:dyDescent="0.25">
      <c r="A21" t="s">
        <v>23</v>
      </c>
      <c r="B21" s="5">
        <v>0.05444</v>
      </c>
      <c r="C21" s="6" t="s">
        <v>24</v>
      </c>
    </row>
    <row r="22" spans="1:2" x14ac:dyDescent="0.25">
      <c r="A22" t="s">
        <v>25</v>
      </c>
      <c r="B22" s="10">
        <v>46147145728</v>
      </c>
    </row>
    <row r="23" spans="1:2" x14ac:dyDescent="0.25">
      <c r="A23" t="s">
        <v>26</v>
      </c>
      <c r="B23" s="10">
        <v>9349300000</v>
      </c>
    </row>
    <row r="24" spans="1:2" x14ac:dyDescent="0.25">
      <c r="A24" t="s">
        <v>27</v>
      </c>
      <c r="B24" s="9">
        <f>B22/(B22+B23)</f>
        <v>0.8315333553823802</v>
      </c>
    </row>
    <row r="25" spans="1:2" x14ac:dyDescent="0.25">
      <c r="A25" t="s">
        <v>28</v>
      </c>
      <c r="B25" s="9">
        <f>1-B24</f>
        <v>0.16846664461761984</v>
      </c>
    </row>
    <row r="26" spans="1:2" x14ac:dyDescent="0.25">
      <c r="A26" t="s">
        <v>29</v>
      </c>
      <c r="B26" s="11">
        <f>B24*B20+B25*B21*(1-B8)</f>
        <v>0.077246394190747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7902500000</v>
      </c>
      <c r="C29" s="6" t="s">
        <v>32</v>
      </c>
    </row>
    <row r="30" spans="1:2" x14ac:dyDescent="0.25">
      <c r="A30" t="s">
        <v>33</v>
      </c>
      <c r="B30" s="10">
        <v>9051900000</v>
      </c>
    </row>
    <row r="31" spans="1:2" x14ac:dyDescent="0.25">
      <c r="A31" t="s">
        <v>34</v>
      </c>
      <c r="B31" s="12">
        <v>108200000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0.083969920911104</v>
      </c>
      <c r="C5" s="5">
        <v>0.06293799434777125</v>
      </c>
      <c r="D5" s="5">
        <v>0.05819574505429985</v>
      </c>
      <c r="E5" s="5">
        <v>0.05345349576082844</v>
      </c>
      <c r="F5" s="5">
        <v>0.048711246467357035</v>
      </c>
      <c r="G5" s="5">
        <v>0.043968997173885624</v>
      </c>
      <c r="H5" s="5">
        <v>0.03922674788041422</v>
      </c>
      <c r="I5" s="5">
        <v>0.034484498586942816</v>
      </c>
      <c r="J5" s="5">
        <v>0.029742249293471405</v>
      </c>
      <c r="K5" s="5">
        <v>0.025</v>
      </c>
    </row>
    <row r="6" spans="1:11" x14ac:dyDescent="0.25">
      <c r="A6" t="s">
        <v>50</v>
      </c>
      <c r="B6" s="18">
        <f>Assumptions!B29*(1+B5)</f>
        <v>8566072299.999999</v>
      </c>
      <c r="C6" s="18">
        <f>B6*(1+C5)</f>
        <v>9105203709.999998</v>
      </c>
      <c r="D6" s="18">
        <f>C6*(1+D5)</f>
        <v>9635087823.774622</v>
      </c>
      <c r="E6" s="18">
        <f>D6*(1+E5)</f>
        <v>10150116949.917967</v>
      </c>
      <c r="F6" s="18">
        <f>E6*(1+F5)</f>
        <v>10644541798.337921</v>
      </c>
      <c r="G6" s="18">
        <f>F6*(1+G5)</f>
        <v>11112571626.58635</v>
      </c>
      <c r="H6" s="18">
        <f>G6*(1+H5)</f>
        <v>11548481672.085497</v>
      </c>
      <c r="I6" s="18">
        <f>H6*(1+I5)</f>
        <v>11946725271.987864</v>
      </c>
      <c r="J6" s="18">
        <f>I6*(1+J5)</f>
        <v>12302047753.26794</v>
      </c>
      <c r="K6" s="18">
        <f>J6*(1+K5)</f>
        <v>12609598947.099638</v>
      </c>
    </row>
    <row r="7" spans="1:11" x14ac:dyDescent="0.25">
      <c r="A7" t="s">
        <v>4</v>
      </c>
      <c r="B7" s="9">
        <f>Assumptions!B7</f>
        <v>0.2832083398054525</v>
      </c>
      <c r="C7" s="9">
        <f>Assumptions!B7</f>
        <v>0.2832083398054525</v>
      </c>
      <c r="D7" s="9">
        <f>Assumptions!B7</f>
        <v>0.2832083398054525</v>
      </c>
      <c r="E7" s="9">
        <f>Assumptions!B7</f>
        <v>0.2832083398054525</v>
      </c>
      <c r="F7" s="9">
        <f>Assumptions!B7</f>
        <v>0.2832083398054525</v>
      </c>
      <c r="G7" s="9">
        <f>Assumptions!B7</f>
        <v>0.2832083398054525</v>
      </c>
      <c r="H7" s="9">
        <f>Assumptions!B7</f>
        <v>0.2832083398054525</v>
      </c>
      <c r="I7" s="9">
        <f>Assumptions!B7</f>
        <v>0.2832083398054525</v>
      </c>
      <c r="J7" s="9">
        <f>Assumptions!B7</f>
        <v>0.2832083398054525</v>
      </c>
      <c r="K7" s="9">
        <f>Assumptions!B7</f>
        <v>0.2832083398054525</v>
      </c>
    </row>
    <row r="8" spans="1:11" x14ac:dyDescent="0.25">
      <c r="A8" t="s">
        <v>51</v>
      </c>
      <c r="B8" s="18">
        <f>B6*B7</f>
        <v>2425983114.736474</v>
      </c>
      <c r="C8" s="18">
        <f>C6*C7</f>
        <v>2578669626.2995462</v>
      </c>
      <c r="D8" s="18">
        <f>D6*D7</f>
        <v>2728737226.450941</v>
      </c>
      <c r="E8" s="18">
        <f>E6*E7</f>
        <v>2874597770.2174506</v>
      </c>
      <c r="F8" s="18">
        <f>F6*F7</f>
        <v>3014623010.6970286</v>
      </c>
      <c r="G8" s="18">
        <f>G6*G7</f>
        <v>3147172961.3346972</v>
      </c>
      <c r="H8" s="18">
        <f>H6*H7</f>
        <v>3270626321.62503</v>
      </c>
      <c r="I8" s="18">
        <f>I6*I7</f>
        <v>3383412230.3915257</v>
      </c>
      <c r="J8" s="18">
        <f>J6*J7</f>
        <v>3484042520.4104104</v>
      </c>
      <c r="K8" s="18">
        <f>K6*K7</f>
        <v>3571143583.4206705</v>
      </c>
    </row>
    <row r="9" spans="1:11" x14ac:dyDescent="0.25">
      <c r="A9" t="s">
        <v>52</v>
      </c>
      <c r="B9" s="18">
        <f>B8*(1-Assumptions!B8)</f>
        <v>1916526660.6418145</v>
      </c>
      <c r="C9" s="18">
        <f>C8*(1-Assumptions!B8)</f>
        <v>2037149004.7766416</v>
      </c>
      <c r="D9" s="18">
        <f>D8*(1-Assumptions!B8)</f>
        <v>2155702408.8962436</v>
      </c>
      <c r="E9" s="18">
        <f>E8*(1-Assumptions!B8)</f>
        <v>2270932238.471786</v>
      </c>
      <c r="F9" s="18">
        <f>F8*(1-Assumptions!B8)</f>
        <v>2381552178.4506526</v>
      </c>
      <c r="G9" s="18">
        <f>G8*(1-Assumptions!B8)</f>
        <v>2486266639.454411</v>
      </c>
      <c r="H9" s="18">
        <f>H8*(1-Assumptions!B8)</f>
        <v>2583794794.0837736</v>
      </c>
      <c r="I9" s="18">
        <f>I8*(1-Assumptions!B8)</f>
        <v>2672895662.0093055</v>
      </c>
      <c r="J9" s="18">
        <f>J8*(1-Assumptions!B8)</f>
        <v>2752393591.124224</v>
      </c>
      <c r="K9" s="18">
        <f>K8*(1-Assumptions!B8)</f>
        <v>2821203430.90233</v>
      </c>
    </row>
    <row r="10" spans="1:11" x14ac:dyDescent="0.25">
      <c r="A10" t="s">
        <v>53</v>
      </c>
      <c r="B10" s="18">
        <f>B6*Assumptions!B9</f>
        <v>1011638045.9094971</v>
      </c>
      <c r="C10" s="18">
        <f>C6*Assumptions!B9</f>
        <v>1075308515.5249393</v>
      </c>
      <c r="D10" s="18">
        <f>D6*Assumptions!B9</f>
        <v>1137886895.7491462</v>
      </c>
      <c r="E10" s="18">
        <f>E6*Assumptions!B9</f>
        <v>1198710928.1073751</v>
      </c>
      <c r="F10" s="18">
        <f>F6*Assumptions!B9</f>
        <v>1257101631.569528</v>
      </c>
      <c r="G10" s="18">
        <f>G6*Assumptions!B9</f>
        <v>1312375129.6552958</v>
      </c>
      <c r="H10" s="18">
        <f>H6*Assumptions!B9</f>
        <v>1363855337.99081</v>
      </c>
      <c r="I10" s="18">
        <f>I6*Assumptions!B9</f>
        <v>1410887205.4665484</v>
      </c>
      <c r="J10" s="18">
        <f>J6*Assumptions!B9</f>
        <v>1452850164.4565036</v>
      </c>
      <c r="K10" s="18">
        <f>K6*Assumptions!B9</f>
        <v>1489171418.5679162</v>
      </c>
    </row>
    <row r="11" spans="1:11" x14ac:dyDescent="0.25">
      <c r="A11" t="s">
        <v>54</v>
      </c>
      <c r="B11" s="18">
        <f>-B6*B19</f>
        <v>-127605827.46498969</v>
      </c>
      <c r="C11" s="18">
        <f>-C6*C19</f>
        <v>-228696140.1058669</v>
      </c>
      <c r="D11" s="18">
        <f>-D6*D19</f>
        <v>-340479981.3658365</v>
      </c>
      <c r="E11" s="18">
        <f>-E6*E19</f>
        <v>-462418342.50719124</v>
      </c>
      <c r="F11" s="18">
        <f>-F6*F19</f>
        <v>-593735064.6770551</v>
      </c>
      <c r="G11" s="18">
        <f>-G6*G19</f>
        <v>-733416212.4491378</v>
      </c>
      <c r="H11" s="18">
        <f>-H6*H19</f>
        <v>-880216143.9194851</v>
      </c>
      <c r="I11" s="18">
        <f>-I6*I19</f>
        <v>-1032670574.0180705</v>
      </c>
      <c r="J11" s="18">
        <f>-J6*J19</f>
        <v>-1189116684.4072726</v>
      </c>
      <c r="K11" s="18">
        <f>-K6*K19</f>
        <v>-1347720070.3746471</v>
      </c>
    </row>
    <row r="12" spans="1:11" x14ac:dyDescent="0.25">
      <c r="A12" t="s">
        <v>55</v>
      </c>
      <c r="B12" s="18">
        <f>-(B6-Assumptions!B29)*Assumptions!B11</f>
        <v>-84926217.24451602</v>
      </c>
      <c r="C12" s="18">
        <f>-(C6-B6)*Assumptions!B11</f>
        <v>-68999853.1418539</v>
      </c>
      <c r="D12" s="18">
        <f>-(D6-C6)*Assumptions!B11</f>
        <v>-67816353.03469059</v>
      </c>
      <c r="E12" s="18">
        <f>-(E6-D6)*Assumptions!B11</f>
        <v>-65915161.69994289</v>
      </c>
      <c r="F12" s="18">
        <f>-(F6-E6)*Assumptions!B11</f>
        <v>-63278156.860978074</v>
      </c>
      <c r="G12" s="18">
        <f>-(G6-F6)*Assumptions!B11</f>
        <v>-59900033.30569947</v>
      </c>
      <c r="H12" s="18">
        <f>-(H6-G6)*Assumptions!B11</f>
        <v>-55789235.36007682</v>
      </c>
      <c r="I12" s="18">
        <f>-(I6-H6)*Assumptions!B11</f>
        <v>-50968556.8272614</v>
      </c>
      <c r="J12" s="18">
        <f>-(J6-I6)*Assumptions!B11</f>
        <v>-45475367.547820084</v>
      </c>
      <c r="K12" s="18">
        <f>-(K6-J6)*Assumptions!B11</f>
        <v>-39361437.33118611</v>
      </c>
    </row>
    <row r="13" spans="1:11" x14ac:dyDescent="0.25">
      <c r="A13" s="19" t="s">
        <v>56</v>
      </c>
      <c r="B13" s="20">
        <f>B9+B10+B11+B12</f>
        <v>2715632661.841806</v>
      </c>
      <c r="C13" s="20">
        <f>C9+C10+C11+C12</f>
        <v>2814761527.05386</v>
      </c>
      <c r="D13" s="20">
        <f>D9+D10+D11+D12</f>
        <v>2885292970.2448626</v>
      </c>
      <c r="E13" s="20">
        <f>E9+E10+E11+E12</f>
        <v>2941309662.372027</v>
      </c>
      <c r="F13" s="20">
        <f>F9+F10+F11+F12</f>
        <v>2981640588.482147</v>
      </c>
      <c r="G13" s="20">
        <f>G9+G10+G11+G12</f>
        <v>3005325523.35487</v>
      </c>
      <c r="H13" s="20">
        <f>H9+H10+H11+H12</f>
        <v>3011644752.7950215</v>
      </c>
      <c r="I13" s="20">
        <f>I9+I10+I11+I12</f>
        <v>3000143736.6305223</v>
      </c>
      <c r="J13" s="20">
        <f>J9+J10+J11+J12</f>
        <v>2970651703.625635</v>
      </c>
      <c r="K13" s="20">
        <f>K9+K10+K11+K12</f>
        <v>2923293341.764413</v>
      </c>
    </row>
    <row r="14" spans="1:11" x14ac:dyDescent="0.25">
      <c r="A14" t="s">
        <v>57</v>
      </c>
      <c r="B14" s="21">
        <f>1/(1+Assumptions!$B$26)^(1-0.5*Assumptions!$B$32)</f>
        <v>0.963479493075828</v>
      </c>
      <c r="C14" s="21">
        <f>1/(1+Assumptions!$B$26)^(2-0.5*Assumptions!$B$32)</f>
        <v>0.894391012373373</v>
      </c>
      <c r="D14" s="21">
        <f>1/(1+Assumptions!$B$26)^(3-0.5*Assumptions!$B$32)</f>
        <v>0.8302566777633641</v>
      </c>
      <c r="E14" s="21">
        <f>1/(1+Assumptions!$B$26)^(4-0.5*Assumptions!$B$32)</f>
        <v>0.7707212409720551</v>
      </c>
      <c r="F14" s="21">
        <f>1/(1+Assumptions!$B$26)^(5-0.5*Assumptions!$B$32)</f>
        <v>0.715454927608311</v>
      </c>
      <c r="G14" s="21">
        <f>1/(1+Assumptions!$B$26)^(6-0.5*Assumptions!$B$32)</f>
        <v>0.6641516105011218</v>
      </c>
      <c r="H14" s="21">
        <f>1/(1+Assumptions!$B$26)^(7-0.5*Assumptions!$B$32)</f>
        <v>0.6165271140220879</v>
      </c>
      <c r="I14" s="21">
        <f>1/(1+Assumptions!$B$26)^(8-0.5*Assumptions!$B$32)</f>
        <v>0.5723176400003062</v>
      </c>
      <c r="J14" s="21">
        <f>1/(1+Assumptions!$B$26)^(9-0.5*Assumptions!$B$32)</f>
        <v>0.5312783065105962</v>
      </c>
      <c r="K14" s="21">
        <f>1/(1+Assumptions!$B$26)^(10-0.5*Assumptions!$B$32)</f>
        <v>0.4931817914412282</v>
      </c>
    </row>
    <row r="15" spans="1:11" x14ac:dyDescent="0.25">
      <c r="A15" s="19" t="s">
        <v>58</v>
      </c>
      <c r="B15" s="20">
        <f>B13*B14</f>
        <v>2616456380.4115047</v>
      </c>
      <c r="C15" s="20">
        <f>C13*C14</f>
        <v>2517497411.7713237</v>
      </c>
      <c r="D15" s="20">
        <f>D13*D14</f>
        <v>2395533755.8494887</v>
      </c>
      <c r="E15" s="20">
        <f>E13*E14</f>
        <v>2266929833.066465</v>
      </c>
      <c r="F15" s="20">
        <f>F13*F14</f>
        <v>2133229451.3864963</v>
      </c>
      <c r="G15" s="20">
        <f>G13*G14</f>
        <v>1995991786.4162636</v>
      </c>
      <c r="H15" s="20">
        <f>H13*H14</f>
        <v>1856760647.900479</v>
      </c>
      <c r="I15" s="20">
        <f>I13*I14</f>
        <v>1717035183.0100806</v>
      </c>
      <c r="J15" s="20">
        <f>J13*J14</f>
        <v>1578242806.3350449</v>
      </c>
      <c r="K15" s="20">
        <f>K13*K14</f>
        <v>1441715047.1995878</v>
      </c>
    </row>
    <row r="17" spans="1:2" x14ac:dyDescent="0.25">
      <c r="A17" s="22" t="s">
        <v>59</v>
      </c>
      <c r="B17" s="23">
        <f>SUM(B15:K15)</f>
        <v>20519392303.346737</v>
      </c>
    </row>
    <row r="19" spans="1:11" x14ac:dyDescent="0.25">
      <c r="A19" t="s">
        <v>7</v>
      </c>
      <c r="B19" s="9">
        <f>Assumptions!$B$10+($B$20-Assumptions!$B$10)*0/9</f>
        <v>0.01489665543273429</v>
      </c>
      <c r="C19" s="9">
        <f>Assumptions!$B$10+($B$20-Assumptions!$B$10)*1/9</f>
        <v>0.025117081109859864</v>
      </c>
      <c r="D19" s="9">
        <f>Assumptions!$B$10+($B$20-Assumptions!$B$10)*2/9</f>
        <v>0.03533750678698544</v>
      </c>
      <c r="E19" s="9">
        <f>Assumptions!$B$10+($B$20-Assumptions!$B$10)*3/9</f>
        <v>0.045557932464111016</v>
      </c>
      <c r="F19" s="9">
        <f>Assumptions!$B$10+($B$20-Assumptions!$B$10)*4/9</f>
        <v>0.055778358141236585</v>
      </c>
      <c r="G19" s="9">
        <f>Assumptions!$B$10+($B$20-Assumptions!$B$10)*5/9</f>
        <v>0.06599878381836218</v>
      </c>
      <c r="H19" s="9">
        <f>Assumptions!$B$10+($B$20-Assumptions!$B$10)*6/9</f>
        <v>0.07621920949548774</v>
      </c>
      <c r="I19" s="9">
        <f>Assumptions!$B$10+($B$20-Assumptions!$B$10)*7/9</f>
        <v>0.08643963517261331</v>
      </c>
      <c r="J19" s="9">
        <f>Assumptions!$B$10+($B$20-Assumptions!$B$10)*8/9</f>
        <v>0.09666006084973888</v>
      </c>
      <c r="K19" s="9">
        <f>Assumptions!$B$10+($B$20-Assumptions!$B$10)*9/9</f>
        <v>0.10688048652686447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0.10688048652686447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2923293341.764413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3940417737.8360944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0.3236397020457253</v>
      </c>
    </row>
    <row r="7" spans="1:2" x14ac:dyDescent="0.25">
      <c r="A7" t="s">
        <v>66</v>
      </c>
      <c r="B7" s="18">
        <f>-MAX(B5,0)*B6</f>
        <v>-1275275622.6089644</v>
      </c>
    </row>
    <row r="8" spans="1:2" x14ac:dyDescent="0.25">
      <c r="A8" t="s">
        <v>67</v>
      </c>
      <c r="B8" s="18">
        <f>IF(OR(Assumptions!$B$33=0,Assumptions!B12&lt;=0),B5,MAX(B5+B7,0))</f>
        <v>2665142115.22713</v>
      </c>
    </row>
    <row r="9" spans="1:2" x14ac:dyDescent="0.25">
      <c r="A9" t="s">
        <v>68</v>
      </c>
      <c r="B9" s="18">
        <f>B8*(1+Assumptions!B12)/(Assumptions!B26-Assumptions!B12)</f>
        <v>52286300526.96753</v>
      </c>
    </row>
    <row r="10" spans="1:2" x14ac:dyDescent="0.25">
      <c r="A10" t="s">
        <v>69</v>
      </c>
      <c r="B10" s="18">
        <f>B9/(1+Assumptions!B26)^(10-0.5*Assumptions!B32)</f>
        <v>25786651361.72428</v>
      </c>
    </row>
    <row r="11" spans="1:2" x14ac:dyDescent="0.25">
      <c r="A11" t="s">
        <v>70</v>
      </c>
      <c r="B11" s="18">
        <f>Forecast!B17+B10</f>
        <v>46306043665.071014</v>
      </c>
    </row>
    <row r="12" spans="1:2" x14ac:dyDescent="0.25">
      <c r="A12" t="s">
        <v>71</v>
      </c>
      <c r="B12" s="18">
        <f>-Assumptions!B30</f>
        <v>-9051900000</v>
      </c>
    </row>
    <row r="13" spans="1:2" x14ac:dyDescent="0.25">
      <c r="A13" t="s">
        <v>72</v>
      </c>
      <c r="B13" s="18">
        <f>B11+B12</f>
        <v>37254143665.071014</v>
      </c>
    </row>
    <row r="14" spans="1:2" x14ac:dyDescent="0.25">
      <c r="A14" s="19" t="s">
        <v>73</v>
      </c>
      <c r="B14" s="24">
        <f>B13/Assumptions!B31</f>
        <v>344.3081669599909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5060315001.988586</v>
      </c>
    </row>
    <row r="18" spans="1:2" x14ac:dyDescent="0.25">
      <c r="A18" t="s">
        <v>68</v>
      </c>
      <c r="B18" s="18">
        <f>B17*Assumptions!B13</f>
        <v>89138549653.06752</v>
      </c>
    </row>
    <row r="19" spans="1:2" x14ac:dyDescent="0.25">
      <c r="A19" t="s">
        <v>69</v>
      </c>
      <c r="B19" s="18">
        <f>B18/(1+Assumptions!B26)^(10-0.5*Assumptions!B32)</f>
        <v>43961509604.37271</v>
      </c>
    </row>
    <row r="20" spans="1:2" x14ac:dyDescent="0.25">
      <c r="A20" t="s">
        <v>70</v>
      </c>
      <c r="B20" s="18">
        <f>Forecast!B17+B19</f>
        <v>64480901907.71945</v>
      </c>
    </row>
    <row r="21" spans="1:2" x14ac:dyDescent="0.25">
      <c r="A21" t="s">
        <v>71</v>
      </c>
      <c r="B21" s="18">
        <f>-Assumptions!B30</f>
        <v>-9051900000</v>
      </c>
    </row>
    <row r="22" spans="1:2" x14ac:dyDescent="0.25">
      <c r="A22" t="s">
        <v>72</v>
      </c>
      <c r="B22" s="18">
        <f>B20+B21</f>
        <v>55429001907.71945</v>
      </c>
    </row>
    <row r="23" spans="1:2" x14ac:dyDescent="0.25">
      <c r="A23" s="19" t="s">
        <v>73</v>
      </c>
      <c r="B23" s="25">
        <f>B22/Assumptions!B31</f>
        <v>512.2828272432482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466.6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344.3081669599909</v>
      </c>
    </row>
    <row r="29" spans="1:2" x14ac:dyDescent="0.25">
      <c r="A29" s="19" t="s">
        <v>81</v>
      </c>
      <c r="B29" s="11">
        <f>B28/B26-1</f>
        <v>-0.26209136956710055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0.057246</v>
      </c>
      <c r="B5" s="31">
        <v>514.6476715758974</v>
      </c>
      <c r="C5" s="31">
        <v>508.6286521796292</v>
      </c>
      <c r="D5" s="31">
        <v>503.18914055490745</v>
      </c>
      <c r="E5" s="31">
        <v>498.64817863717946</v>
      </c>
      <c r="F5" s="31">
        <v>495.61163919480344</v>
      </c>
    </row>
    <row r="6" spans="1:6" x14ac:dyDescent="0.25">
      <c r="A6" s="30">
        <v>0.067246</v>
      </c>
      <c r="B6" s="31">
        <v>421.1090580866913</v>
      </c>
      <c r="C6" s="31">
        <v>414.59964188912284</v>
      </c>
      <c r="D6" s="31">
        <v>408.0902256915542</v>
      </c>
      <c r="E6" s="31">
        <v>401.58080949398567</v>
      </c>
      <c r="F6" s="31">
        <v>395.0713932964171</v>
      </c>
    </row>
    <row r="7" spans="1:6" x14ac:dyDescent="0.25">
      <c r="A7" s="30">
        <v>0.077246</v>
      </c>
      <c r="B7" s="31">
        <v>355.0219234858701</v>
      </c>
      <c r="C7" s="31">
        <v>349.6661393637838</v>
      </c>
      <c r="D7" s="32">
        <v>344.31035524169744</v>
      </c>
      <c r="E7" s="31">
        <v>338.9545711196111</v>
      </c>
      <c r="F7" s="31">
        <v>333.5987869975247</v>
      </c>
    </row>
    <row r="8" spans="1:6" x14ac:dyDescent="0.25">
      <c r="A8" s="30">
        <v>0.087246</v>
      </c>
      <c r="B8" s="31">
        <v>304.14026956711746</v>
      </c>
      <c r="C8" s="31">
        <v>299.654681224055</v>
      </c>
      <c r="D8" s="31">
        <v>295.1690928809925</v>
      </c>
      <c r="E8" s="31">
        <v>290.68350453793016</v>
      </c>
      <c r="F8" s="31">
        <v>286.1979161948677</v>
      </c>
    </row>
    <row r="9" spans="1:6" x14ac:dyDescent="0.25">
      <c r="A9" s="30">
        <v>0.097246</v>
      </c>
      <c r="B9" s="31">
        <v>263.77273619000573</v>
      </c>
      <c r="C9" s="31">
        <v>259.96271434371</v>
      </c>
      <c r="D9" s="31">
        <v>256.1526924974142</v>
      </c>
      <c r="E9" s="31">
        <v>252.34267065111848</v>
      </c>
      <c r="F9" s="31">
        <v>248.53264880482263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7902500000</v>
      </c>
      <c r="C5" s="18">
        <v>7039200000</v>
      </c>
      <c r="D5" s="18">
        <v>6177800000</v>
      </c>
      <c r="E5" s="18">
        <v>5371800000</v>
      </c>
      <c r="F5" s="6" t="s">
        <v>91</v>
      </c>
    </row>
    <row r="6" spans="1:6" x14ac:dyDescent="0.25">
      <c r="A6" t="s">
        <v>51</v>
      </c>
      <c r="B6" s="18">
        <v>2235400000</v>
      </c>
      <c r="C6" s="18">
        <v>1996800000</v>
      </c>
      <c r="D6" s="18">
        <v>1745200000</v>
      </c>
      <c r="E6" s="18">
        <v>1524500000</v>
      </c>
      <c r="F6" s="6" t="s">
        <v>92</v>
      </c>
    </row>
    <row r="7" spans="1:6" x14ac:dyDescent="0.25">
      <c r="A7" t="s">
        <v>93</v>
      </c>
      <c r="B7" s="18">
        <v>898200000</v>
      </c>
      <c r="C7" s="18">
        <v>812800000</v>
      </c>
      <c r="D7" s="18">
        <v>755200000</v>
      </c>
      <c r="E7" s="18">
        <v>650100000</v>
      </c>
      <c r="F7" s="6" t="s">
        <v>94</v>
      </c>
    </row>
    <row r="8" spans="1:6" x14ac:dyDescent="0.25">
      <c r="A8" t="s">
        <v>95</v>
      </c>
      <c r="B8" s="18">
        <v>104700000</v>
      </c>
      <c r="C8" s="18">
        <v>111000000</v>
      </c>
      <c r="D8" s="18">
        <v>108000000</v>
      </c>
      <c r="E8" s="18">
        <v>70300000</v>
      </c>
      <c r="F8" s="6" t="s">
        <v>96</v>
      </c>
    </row>
    <row r="9" spans="1:6" x14ac:dyDescent="0.25">
      <c r="A9" t="s">
        <v>97</v>
      </c>
      <c r="B9" s="18">
        <v>-2700000</v>
      </c>
      <c r="C9" s="18">
        <v>-181500000</v>
      </c>
      <c r="D9" s="18">
        <v>-42500000</v>
      </c>
      <c r="E9" s="18">
        <v>-2100000</v>
      </c>
      <c r="F9" s="6" t="s">
        <v>98</v>
      </c>
    </row>
    <row r="10" spans="1:6" x14ac:dyDescent="0.25">
      <c r="A10" t="s">
        <v>99</v>
      </c>
      <c r="B10" s="18">
        <v>9349300000</v>
      </c>
      <c r="C10" s="18">
        <v>7669200000</v>
      </c>
      <c r="D10" s="18">
        <v>6373400000</v>
      </c>
      <c r="E10" s="18">
        <v>6708100000</v>
      </c>
      <c r="F10" s="6" t="s">
        <v>100</v>
      </c>
    </row>
    <row r="11" spans="1:6" x14ac:dyDescent="0.25">
      <c r="A11" t="s">
        <v>101</v>
      </c>
      <c r="B11" s="18">
        <v>297400000</v>
      </c>
      <c r="C11" s="18">
        <v>188200000</v>
      </c>
      <c r="D11" s="18">
        <v>214300000</v>
      </c>
      <c r="E11" s="18">
        <v>792800000</v>
      </c>
      <c r="F11" s="6" t="s">
        <v>102</v>
      </c>
    </row>
    <row r="12" spans="1:6" x14ac:dyDescent="0.25">
      <c r="A12" t="s">
        <v>34</v>
      </c>
      <c r="B12" s="34">
        <v>108200000</v>
      </c>
      <c r="C12" s="34">
        <v>108000000</v>
      </c>
      <c r="D12" s="34">
        <v>107400000</v>
      </c>
      <c r="E12" s="34">
        <v>106800000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