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<sst xmlns="http://schemas.openxmlformats.org/spreadsheetml/2006/main" count="119" uniqueCount="102">
  <si>
    <t>Roche Holding AG (ROP.SW)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</si>
  <si>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</si>
  <si>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</si>
  <si>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</si>
  <si>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</si>
  <si>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</si>
  <si>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</si>
  <si>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</si>
  <si>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</si>
  <si>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</si>
  <si>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</si>
  <si>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</si>
  <si>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</si>
  <si>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</si>
  <si>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</si>
  <si>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</si>
  <si>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</si>
  <si>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</si>
  <si>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</si>
  <si>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</si>
  <si>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</si>
  <si>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</si>
  <si>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</si>
  <si>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</si>
  <si>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</si>
  <si>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</si>
  <si>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</si>
  <si>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</si>
  <si>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</si>
  <si>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</si>
  <si>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</si>
  <si>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</si>
  <si>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</si>
  <si>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</si>
  <si>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</si>
  <si>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</si>
  <si>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</si>
  <si>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</si>
  <si>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</si>
  <si>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</si>
  <si>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</si>
  <si>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</si>
  <si>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</si>
  <si>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</si>
  <si>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</si>
  <si>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</si>
  <si>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</si>
  <si>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</si>
  <si>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</si>
  <si>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</si>
  <si>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</si>
  <si>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</si>
  <si>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</si>
  <si>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</si>
  <si>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</si>
  <si>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</si>
  <si>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</si>
  <si>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</si>
  <si>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</si>
  <si>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</si>
  <si>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</si>
  <si>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</si>
  <si>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</si>
  <si>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</si>
  <si>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</si>
  <si>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</si>
  <si>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</si>
  <si>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</si>
  <si>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</si>
  <si>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</si>
  <si>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</si>
  <si>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</si>
  <si>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</si>
  <si>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</si>
  <si>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</si>
  <si>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</si>
  <si>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</si>
  <si>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</si>
  <si>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</si>
  <si>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</si>
  <si>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</si>
  <si>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</si>
  <si>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</si>
  <si>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</si>
  <si>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</si>
  <si>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</si>
  <si>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</si>
  <si>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</si>
  <si>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</si>
  <si>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</si>
  <si>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</si>
  <si>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</si>
  <si>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</si>
  <si>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</si>
  <si>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</si>
  <si>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</si>
  <si>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</si>
  <si>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</si>
  <si>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</si>
  <si>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7.9% of revenue against depreciation of 5.6%.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</si>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</sst>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-0.012607506839578675</v>
      </c>
    </row>
    <row r="7" spans="1:2" x14ac:dyDescent="0.25">
      <c r="A7" t="s">
        <v>5</v>
      </c>
      <c r="B7" s="6">
        <v>0.2567256539427131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0.056005827742815185</v>
      </c>
    </row>
    <row r="10" spans="1:2" x14ac:dyDescent="0.25">
      <c r="A10" t="s">
        <v>8</v>
      </c>
      <c r="B10" s="6">
        <v>0.07939404830434978</v>
      </c>
    </row>
    <row r="11" spans="1:2" x14ac:dyDescent="0.25">
      <c r="A11" t="s">
        <v>9</v>
      </c>
      <c r="B11" s="6">
        <v>-0.20603015075376885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13.813972120391547</v>
      </c>
    </row>
    <row r="14" spans="1:3" x14ac:dyDescent="0.25">
      <c r="A14" t="s">
        <v>12</v>
      </c>
      <c r="B14" s="6">
        <v>0.23179417795927268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0.56182</v>
      </c>
      <c r="C19" s="8" t="s">
        <v>19</v>
      </c>
    </row>
    <row r="20" spans="1:2" x14ac:dyDescent="0.25">
      <c r="A20" t="s">
        <v>20</v>
      </c>
      <c r="B20" s="10">
        <f>B17+B19*B18</f>
        <v>0.0359001</v>
      </c>
    </row>
    <row r="21" spans="1:3" x14ac:dyDescent="0.25">
      <c r="A21" t="s">
        <v>21</v>
      </c>
      <c r="B21" s="6">
        <v>0.038708749730390395</v>
      </c>
      <c r="C21" s="8" t="s">
        <v>22</v>
      </c>
    </row>
    <row r="22" spans="1:2" x14ac:dyDescent="0.25">
      <c r="A22" t="s">
        <v>23</v>
      </c>
      <c r="B22" s="11">
        <v>284286058496</v>
      </c>
    </row>
    <row r="23" spans="1:2" x14ac:dyDescent="0.25">
      <c r="A23" t="s">
        <v>24</v>
      </c>
      <c r="B23" s="11">
        <v>33191000000</v>
      </c>
    </row>
    <row r="24" spans="1:2" x14ac:dyDescent="0.25">
      <c r="A24" t="s">
        <v>25</v>
      </c>
      <c r="B24" s="10">
        <f>B22/(B22+B23)</f>
        <v>0.8954538631634128</v>
      </c>
    </row>
    <row r="25" spans="1:2" x14ac:dyDescent="0.25">
      <c r="A25" t="s">
        <v>26</v>
      </c>
      <c r="B25" s="10">
        <f>1-B24</f>
        <v>0.1045461368365872</v>
      </c>
    </row>
    <row r="26" spans="1:2" x14ac:dyDescent="0.25">
      <c r="A26" t="s">
        <v>27</v>
      </c>
      <c r="B26" s="12">
        <f>B24*B20+B25*B21*(1-B8)</f>
        <v>0.03558670594212644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63356000000</v>
      </c>
      <c r="C29" s="8" t="s">
        <v>30</v>
      </c>
    </row>
    <row r="30" spans="1:2" x14ac:dyDescent="0.25">
      <c r="A30" t="s">
        <v>31</v>
      </c>
      <c r="B30" s="11">
        <v>17715000000</v>
      </c>
    </row>
    <row r="31" spans="1:2" x14ac:dyDescent="0.25">
      <c r="A31" t="s">
        <v>32</v>
      </c>
      <c r="B31" s="13">
        <v>803000000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-0.012607506839578675</v>
      </c>
      <c r="C5" s="10">
        <f>Assumptions!B6</f>
        <v>-0.012607506839578675</v>
      </c>
      <c r="D5" s="10">
        <f>Assumptions!B6</f>
        <v>-0.012607506839578675</v>
      </c>
      <c r="E5" s="10">
        <f>Assumptions!B6</f>
        <v>-0.012607506839578675</v>
      </c>
      <c r="F5" s="10">
        <f>Assumptions!B6</f>
        <v>-0.012607506839578675</v>
      </c>
    </row>
    <row r="6" spans="1:6" x14ac:dyDescent="0.25">
      <c r="A6" t="s">
        <v>43</v>
      </c>
      <c r="B6" s="18">
        <f>Assumptions!B29*(1+B5)</f>
        <v>62557238796.67165</v>
      </c>
      <c r="C6" s="18">
        <f>B6*(1+C5)</f>
        <v>61768547980.67746</v>
      </c>
      <c r="D6" s="18">
        <f>C6*(1+D5)</f>
        <v>60989800589.54022</v>
      </c>
      <c r="E6" s="18">
        <f>D6*(1+E5)</f>
        <v>60220871261.46305</v>
      </c>
      <c r="F6" s="18">
        <f>E6*(1+F5)</f>
        <v>59461636215.148766</v>
      </c>
    </row>
    <row r="7" spans="1:6" x14ac:dyDescent="0.25">
      <c r="A7" t="s">
        <v>5</v>
      </c>
      <c r="B7" s="10">
        <f>Assumptions!B7</f>
        <v>0.2567256539427131</v>
      </c>
      <c r="C7" s="10">
        <f>Assumptions!B7</f>
        <v>0.2567256539427131</v>
      </c>
      <c r="D7" s="10">
        <f>Assumptions!B7</f>
        <v>0.2567256539427131</v>
      </c>
      <c r="E7" s="10">
        <f>Assumptions!B7</f>
        <v>0.2567256539427131</v>
      </c>
      <c r="F7" s="10">
        <f>Assumptions!B7</f>
        <v>0.2567256539427131</v>
      </c>
    </row>
    <row r="8" spans="1:6" x14ac:dyDescent="0.25">
      <c r="A8" t="s">
        <v>44</v>
      </c>
      <c r="B8" s="18">
        <f>B6*B7</f>
        <v>16060048038.925991</v>
      </c>
      <c r="C8" s="18">
        <f>C6*C7</f>
        <v>15857570873.43127</v>
      </c>
      <c r="D8" s="18">
        <f>D6*D7</f>
        <v>15657646440.18538</v>
      </c>
      <c r="E8" s="18">
        <f>E6*E7</f>
        <v>15460242555.599037</v>
      </c>
      <c r="F8" s="18">
        <f>F6*F7</f>
        <v>15265327441.837776</v>
      </c>
    </row>
    <row r="9" spans="1:6" x14ac:dyDescent="0.25">
      <c r="A9" t="s">
        <v>45</v>
      </c>
      <c r="B9" s="18">
        <f>B8*(1-Assumptions!B8)</f>
        <v>13651040833.087091</v>
      </c>
      <c r="C9" s="18">
        <f>C8*(1-Assumptions!B8)</f>
        <v>13478935242.41658</v>
      </c>
      <c r="D9" s="18">
        <f>D8*(1-Assumptions!B8)</f>
        <v>13308999474.157574</v>
      </c>
      <c r="E9" s="18">
        <f>E8*(1-Assumptions!B8)</f>
        <v>13141206172.259182</v>
      </c>
      <c r="F9" s="18">
        <f>F8*(1-Assumptions!B8)</f>
        <v>12975528325.562109</v>
      </c>
    </row>
    <row r="10" spans="1:6" x14ac:dyDescent="0.25">
      <c r="A10" t="s">
        <v>46</v>
      </c>
      <c r="B10" s="18">
        <f>B6*Assumptions!B9</f>
        <v>3503569940.112548</v>
      </c>
      <c r="C10" s="18">
        <f>C6*Assumptions!B9</f>
        <v>3459398658.129637</v>
      </c>
      <c r="D10" s="18">
        <f>D6*Assumptions!B9</f>
        <v>3415784265.886438</v>
      </c>
      <c r="E10" s="18">
        <f>E6*Assumptions!B9</f>
        <v>3372719742.391749</v>
      </c>
      <c r="F10" s="18">
        <f>F6*Assumptions!B9</f>
        <v>3330198155.1715627</v>
      </c>
    </row>
    <row r="11" spans="1:6" x14ac:dyDescent="0.25">
      <c r="A11" t="s">
        <v>47</v>
      </c>
      <c r="B11" s="18">
        <f>-B6*Assumptions!B10</f>
        <v>-4966672438.809693</v>
      </c>
      <c r="C11" s="18">
        <f>-C6*Assumptions!B10</f>
        <v>-4904055082.067453</v>
      </c>
      <c r="D11" s="18">
        <f>-D6*Assumptions!B10</f>
        <v>-4842227174.078617</v>
      </c>
      <c r="E11" s="18">
        <f>-E6*Assumptions!B10</f>
        <v>-4781178761.862627</v>
      </c>
      <c r="F11" s="18">
        <f>-F6*Assumptions!B10</f>
        <v>-4720900017.921195</v>
      </c>
    </row>
    <row r="12" spans="1:6" x14ac:dyDescent="0.25">
      <c r="A12" t="s">
        <v>48</v>
      </c>
      <c r="B12" s="18">
        <f>-(B6-Assumptions!B29)*Assumptions!B11</f>
        <v>-164568891.138001</v>
      </c>
      <c r="C12" s="18">
        <f>-(C6-B6)*Assumptions!B11</f>
        <v>-162494087.71739677</v>
      </c>
      <c r="D12" s="18">
        <f>-(D6-C6)*Assumptions!B11</f>
        <v>-160445442.39510924</v>
      </c>
      <c r="E12" s="18">
        <f>-(E6-D6)*Assumptions!B11</f>
        <v>-158422625.3827338</v>
      </c>
      <c r="F12" s="18">
        <f>-(F6-E6)*Assumptions!B11</f>
        <v>-156425311.04967687</v>
      </c>
    </row>
    <row r="13" spans="1:6" x14ac:dyDescent="0.25">
      <c r="A13" s="19" t="s">
        <v>49</v>
      </c>
      <c r="B13" s="20">
        <f>B9+B10+B11+B12</f>
        <v>12023369443.251945</v>
      </c>
      <c r="C13" s="20">
        <f>C9+C10+C11+C12</f>
        <v>11871784730.761366</v>
      </c>
      <c r="D13" s="20">
        <f>D9+D10+D11+D12</f>
        <v>11722111123.570286</v>
      </c>
      <c r="E13" s="20">
        <f>E9+E10+E11+E12</f>
        <v>11574324527.40557</v>
      </c>
      <c r="F13" s="20">
        <f>F9+F10+F11+F12</f>
        <v>11428401151.7628</v>
      </c>
    </row>
    <row r="14" spans="1:6" x14ac:dyDescent="0.25">
      <c r="A14" t="s">
        <v>50</v>
      </c>
      <c r="B14" s="21">
        <f>1/(1+Assumptions!$B$26)^(1-0.5*Assumptions!$B$32)</f>
        <v>0.9826678934912804</v>
      </c>
      <c r="C14" s="21">
        <f>1/(1+Assumptions!$B$26)^(2-0.5*Assumptions!$B$32)</f>
        <v>0.9488996796239257</v>
      </c>
      <c r="D14" s="21">
        <f>1/(1+Assumptions!$B$26)^(3-0.5*Assumptions!$B$32)</f>
        <v>0.9162918702791408</v>
      </c>
      <c r="E14" s="21">
        <f>1/(1+Assumptions!$B$26)^(4-0.5*Assumptions!$B$32)</f>
        <v>0.884804589535111</v>
      </c>
      <c r="F14" s="21">
        <f>1/(1+Assumptions!$B$26)^(5-0.5*Assumptions!$B$32)</f>
        <v>0.8543993317586661</v>
      </c>
    </row>
    <row r="15" spans="1:6" x14ac:dyDescent="0.25">
      <c r="A15" s="19" t="s">
        <v>51</v>
      </c>
      <c r="B15" s="20">
        <f>B13*B14</f>
        <v>11814979123.467817</v>
      </c>
      <c r="C15" s="20">
        <f>C13*C14</f>
        <v>11265132727.583673</v>
      </c>
      <c r="D15" s="20">
        <f>D13*D14</f>
        <v>10740875125.036139</v>
      </c>
      <c r="E15" s="20">
        <f>E13*E14</f>
        <v>10241015462.617252</v>
      </c>
      <c r="F15" s="20">
        <f>F13*F14</f>
        <v>9764418307.136106</v>
      </c>
    </row>
    <row r="17" spans="1:2" x14ac:dyDescent="0.25">
      <c r="A17" s="22" t="s">
        <v>52</v>
      </c>
      <c r="B17" s="23">
        <f>SUM(B15:F15)</f>
        <v>53826420745.84099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11428401151.7628</v>
      </c>
    </row>
    <row r="5" spans="1:2" x14ac:dyDescent="0.25">
      <c r="A5" t="s">
        <v>56</v>
      </c>
      <c r="B5" s="18">
        <f>IF(Assumptions!$B$33=0,B4,B4-Forecast!F11-Forecast!F10-Forecast!F12)</f>
        <v>13590381489.015257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0.1078543051430421</v>
      </c>
    </row>
    <row r="7" spans="1:2" x14ac:dyDescent="0.25">
      <c r="A7" t="s">
        <v>58</v>
      </c>
      <c r="B7" s="18">
        <f>-MAX(Forecast!F9,0)*B6</f>
        <v>-1465781152.1266024</v>
      </c>
    </row>
    <row r="8" spans="1:2" x14ac:dyDescent="0.25">
      <c r="A8" t="s">
        <v>59</v>
      </c>
      <c r="B8" s="18">
        <f>IF(OR(Assumptions!$B$33=0,Assumptions!B12&lt;=0),B5,MAX(B5+B7,0))</f>
        <v>12124600336.888655</v>
      </c>
    </row>
    <row r="9" spans="1:2" x14ac:dyDescent="0.25">
      <c r="A9" t="s">
        <v>60</v>
      </c>
      <c r="B9" s="18">
        <f>B8*(1+Assumptions!B12)/(Assumptions!B26-Assumptions!B12)</f>
        <v>1173898227951.9746</v>
      </c>
    </row>
    <row r="10" spans="1:2" x14ac:dyDescent="0.25">
      <c r="A10" t="s">
        <v>61</v>
      </c>
      <c r="B10" s="18">
        <f>B9/(1+Assumptions!B26)^(5-0.5*Assumptions!B32)</f>
        <v>1002977861514.8494</v>
      </c>
    </row>
    <row r="11" spans="1:2" x14ac:dyDescent="0.25">
      <c r="A11" t="s">
        <v>62</v>
      </c>
      <c r="B11" s="18">
        <f>Forecast!B17+B10</f>
        <v>1056804282260.6903</v>
      </c>
    </row>
    <row r="12" spans="1:2" x14ac:dyDescent="0.25">
      <c r="A12" t="s">
        <v>63</v>
      </c>
      <c r="B12" s="18">
        <f>-Assumptions!B30</f>
        <v>-17715000000</v>
      </c>
    </row>
    <row r="13" spans="1:2" x14ac:dyDescent="0.25">
      <c r="A13" t="s">
        <v>64</v>
      </c>
      <c r="B13" s="18">
        <f>B11+B12</f>
        <v>1039089282260.6903</v>
      </c>
    </row>
    <row r="14" spans="1:2" x14ac:dyDescent="0.25">
      <c r="A14" s="19" t="s">
        <v>65</v>
      </c>
      <c r="B14" s="24">
        <f>B13/Assumptions!B31</f>
        <v>1294.009068817796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18595525597.00934</v>
      </c>
    </row>
    <row r="18" spans="1:2" x14ac:dyDescent="0.25">
      <c r="A18" t="s">
        <v>60</v>
      </c>
      <c r="B18" s="18">
        <f>B17*Assumptions!B13</f>
        <v>256878072161.11438</v>
      </c>
    </row>
    <row r="19" spans="1:2" x14ac:dyDescent="0.25">
      <c r="A19" t="s">
        <v>61</v>
      </c>
      <c r="B19" s="18">
        <f>B18/(1+Assumptions!B26)^(5-0.5*Assumptions!B32)</f>
        <v>219476453197.91055</v>
      </c>
    </row>
    <row r="20" spans="1:2" x14ac:dyDescent="0.25">
      <c r="A20" t="s">
        <v>62</v>
      </c>
      <c r="B20" s="18">
        <f>Forecast!B17+B19</f>
        <v>273302873943.75153</v>
      </c>
    </row>
    <row r="21" spans="1:2" x14ac:dyDescent="0.25">
      <c r="A21" t="s">
        <v>63</v>
      </c>
      <c r="B21" s="18">
        <f>-Assumptions!B30</f>
        <v>-17715000000</v>
      </c>
    </row>
    <row r="22" spans="1:2" x14ac:dyDescent="0.25">
      <c r="A22" t="s">
        <v>64</v>
      </c>
      <c r="B22" s="18">
        <f>B20+B21</f>
        <v>255587873943.75153</v>
      </c>
    </row>
    <row r="23" spans="1:2" x14ac:dyDescent="0.25">
      <c r="A23" s="19" t="s">
        <v>65</v>
      </c>
      <c r="B23" s="25">
        <f>B22/Assumptions!B31</f>
        <v>318.2912502412846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356.8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1294.009068817796</v>
      </c>
    </row>
    <row r="29" spans="1:2" x14ac:dyDescent="0.25">
      <c r="A29" s="19" t="s">
        <v>73</v>
      </c>
      <c r="B29" s="12">
        <f>B28/B26-1</f>
        <v>2.6267070314400116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0.015587</v>
      </c>
      <c r="B5" s="31">
        <v>25578.875387030468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0.025587</v>
      </c>
      <c r="B6" s="31">
        <v>1401.0565388895322</v>
      </c>
      <c r="C6" s="31">
        <v>2566.3986827998674</v>
      </c>
      <c r="D6" s="31">
        <v>23578.696563196518</v>
      </c>
      <c r="E6" s="31" t="s">
        <v>76</v>
      </c>
      <c r="F6" s="31" t="s">
        <v>76</v>
      </c>
    </row>
    <row r="7" spans="1:6" x14ac:dyDescent="0.25">
      <c r="A7" s="30">
        <v>0.035587</v>
      </c>
      <c r="B7" s="31">
        <v>711.7689407715404</v>
      </c>
      <c r="C7" s="31">
        <v>909.5911891222155</v>
      </c>
      <c r="D7" s="32">
        <v>1293.972734576338</v>
      </c>
      <c r="E7" s="31">
        <v>2365.788725970799</v>
      </c>
      <c r="F7" s="31">
        <v>21691.507117488134</v>
      </c>
    </row>
    <row r="8" spans="1:6" x14ac:dyDescent="0.25">
      <c r="A8" s="30">
        <v>0.045587</v>
      </c>
      <c r="B8" s="31">
        <v>473.2484015637381</v>
      </c>
      <c r="C8" s="31">
        <v>547.8598370149641</v>
      </c>
      <c r="D8" s="31">
        <v>658.568186288514</v>
      </c>
      <c r="E8" s="31">
        <v>840.1109682998211</v>
      </c>
      <c r="F8" s="31">
        <v>1192.848671484359</v>
      </c>
    </row>
    <row r="9" spans="1:6" x14ac:dyDescent="0.25">
      <c r="A9" s="30">
        <v>0.055587</v>
      </c>
      <c r="B9" s="31">
        <v>352.3055798688727</v>
      </c>
      <c r="C9" s="31">
        <v>389.4470553908785</v>
      </c>
      <c r="D9" s="31">
        <v>438.6378595758242</v>
      </c>
      <c r="E9" s="31">
        <v>506.9417329929094</v>
      </c>
      <c r="F9" s="31">
        <v>608.2847473612813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63356000000</v>
      </c>
      <c r="C5" s="18">
        <v>62395000000</v>
      </c>
      <c r="D5" s="18">
        <v>60441000000</v>
      </c>
      <c r="E5" s="18">
        <v>65814000000</v>
      </c>
      <c r="F5" s="8" t="s">
        <v>85</v>
      </c>
    </row>
    <row r="6" spans="1:6" x14ac:dyDescent="0.25">
      <c r="A6" t="s">
        <v>44</v>
      </c>
      <c r="B6" s="18">
        <v>18476000000</v>
      </c>
      <c r="C6" s="18">
        <v>13417000000</v>
      </c>
      <c r="D6" s="18">
        <v>15395000000</v>
      </c>
      <c r="E6" s="18">
        <v>17476000000</v>
      </c>
      <c r="F6" s="8" t="s">
        <v>86</v>
      </c>
    </row>
    <row r="7" spans="1:6" x14ac:dyDescent="0.25">
      <c r="A7" t="s">
        <v>87</v>
      </c>
      <c r="B7" s="18">
        <v>3386000000</v>
      </c>
      <c r="C7" s="18">
        <v>3423000000</v>
      </c>
      <c r="D7" s="18">
        <v>3464000000</v>
      </c>
      <c r="E7" s="18">
        <v>3844000000</v>
      </c>
      <c r="F7" s="8" t="s">
        <v>88</v>
      </c>
    </row>
    <row r="8" spans="1:6" x14ac:dyDescent="0.25">
      <c r="A8" t="s">
        <v>89</v>
      </c>
      <c r="B8" s="18">
        <v>5779000000</v>
      </c>
      <c r="C8" s="18">
        <v>5009000000</v>
      </c>
      <c r="D8" s="18">
        <v>4649000000</v>
      </c>
      <c r="E8" s="18">
        <v>4552000000</v>
      </c>
      <c r="F8" s="8" t="s">
        <v>90</v>
      </c>
    </row>
    <row r="9" spans="1:6" x14ac:dyDescent="0.25">
      <c r="A9" t="s">
        <v>91</v>
      </c>
      <c r="B9" s="18">
        <v>1657000000</v>
      </c>
      <c r="C9" s="18">
        <v>-1161000000</v>
      </c>
      <c r="D9" s="18">
        <v>1107000000</v>
      </c>
      <c r="E9" s="18">
        <v>2418000000</v>
      </c>
      <c r="F9" s="8" t="s">
        <v>92</v>
      </c>
    </row>
    <row r="10" spans="1:6" x14ac:dyDescent="0.25">
      <c r="A10" t="s">
        <v>93</v>
      </c>
      <c r="B10" s="18">
        <v>33191000000</v>
      </c>
      <c r="C10" s="18">
        <v>36354000000</v>
      </c>
      <c r="D10" s="18">
        <v>30782000000</v>
      </c>
      <c r="E10" s="18">
        <v>26544000000</v>
      </c>
      <c r="F10" s="8" t="s">
        <v>94</v>
      </c>
    </row>
    <row r="11" spans="1:6" x14ac:dyDescent="0.25">
      <c r="A11" t="s">
        <v>95</v>
      </c>
      <c r="B11" s="18">
        <v>15476000000</v>
      </c>
      <c r="C11" s="18">
        <v>17317000000</v>
      </c>
      <c r="D11" s="18">
        <v>10510000000</v>
      </c>
      <c r="E11" s="18">
        <v>9767000000</v>
      </c>
      <c r="F11" s="8" t="s">
        <v>96</v>
      </c>
    </row>
    <row r="12" spans="1:6" x14ac:dyDescent="0.25">
      <c r="A12" t="s">
        <v>32</v>
      </c>
      <c r="B12" s="34">
        <v>803000000</v>
      </c>
      <c r="C12" s="34">
        <v>802000000</v>
      </c>
      <c r="D12" s="34">
        <v>804000000</v>
      </c>
      <c r="E12" s="34">
        <v>808000000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2026-09-19T00:06:17Z</dcterms:modified>
</cp:coreProperties>
</file>